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131"/>
  <workbookPr codeName="ThisWorkbook" hidePivotFieldList="1" defaultThemeVersion="166925"/>
  <mc:AlternateContent xmlns:mc="http://schemas.openxmlformats.org/markup-compatibility/2006">
    <mc:Choice Requires="x15">
      <x15ac:absPath xmlns:x15ac="http://schemas.microsoft.com/office/spreadsheetml/2010/11/ac" url="K:\PROJECTS\NMED Oil and Gas\Economic Impact Analysis\Small Business Analysis\"/>
    </mc:Choice>
  </mc:AlternateContent>
  <xr:revisionPtr revIDLastSave="0" documentId="13_ncr:1_{C77B0334-0310-4759-AC91-02585D97956E}" xr6:coauthVersionLast="47" xr6:coauthVersionMax="47" xr10:uidLastSave="{00000000-0000-0000-0000-000000000000}"/>
  <bookViews>
    <workbookView xWindow="-120" yWindow="-120" windowWidth="29040" windowHeight="15225" xr2:uid="{00000000-000D-0000-FFFF-FFFF00000000}"/>
  </bookViews>
  <sheets>
    <sheet name="Company Data" sheetId="1" r:id="rId1"/>
    <sheet name="Stats" sheetId="3" r:id="rId2"/>
    <sheet name="Production buckets" sheetId="13" state="hidden" r:id="rId3"/>
    <sheet name="SBA Size Standards" sheetId="6" r:id="rId4"/>
    <sheet name="NM O&amp;G Production" sheetId="11" r:id="rId5"/>
    <sheet name="Oil and Gas Prices" sheetId="14" r:id="rId6"/>
    <sheet name="Crude Oil First Purchase Price" sheetId="15" r:id="rId7"/>
    <sheet name="HH Natural Gas Spot Price" sheetId="16" r:id="rId8"/>
    <sheet name="Notes" sheetId="2" r:id="rId9"/>
  </sheets>
  <definedNames>
    <definedName name="_xlnm._FilterDatabase" localSheetId="0" hidden="1">'Company Data'!$A$2:$DK$537</definedName>
    <definedName name="_xlnm._FilterDatabase" localSheetId="4" hidden="1">'NM O&amp;G Production'!$A$2:$O$537</definedName>
    <definedName name="_xlnm._FilterDatabase" localSheetId="2" hidden="1">'Production buckets'!$A$8:$A$407</definedName>
    <definedName name="_xlnm._FilterDatabase" localSheetId="3" hidden="1">'SBA Size Standards'!$B$3:$B$57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8" i="14" l="1"/>
  <c r="B295" i="16"/>
  <c r="C4" i="14"/>
  <c r="B528" i="15"/>
  <c r="K17" i="3"/>
  <c r="CK71" i="1"/>
  <c r="CK113" i="1"/>
  <c r="CM311" i="1"/>
  <c r="CK311" i="1"/>
  <c r="BB25" i="13"/>
  <c r="BA25" i="13"/>
  <c r="AZ25" i="13"/>
  <c r="AY25" i="13"/>
  <c r="AX25" i="13"/>
  <c r="E4" i="13" l="1"/>
  <c r="E3" i="13"/>
  <c r="E2" i="13"/>
  <c r="E1" i="13"/>
  <c r="CN357" i="1"/>
  <c r="CM357" i="1"/>
  <c r="CL357" i="1"/>
  <c r="CK357" i="1"/>
  <c r="CN272" i="1"/>
  <c r="CM272" i="1"/>
  <c r="CL272" i="1"/>
  <c r="CK272" i="1"/>
  <c r="CN380" i="1"/>
  <c r="CM380" i="1"/>
  <c r="CL380" i="1"/>
  <c r="CK380" i="1"/>
  <c r="CN352" i="1"/>
  <c r="CM352" i="1"/>
  <c r="CL352" i="1"/>
  <c r="CK352" i="1"/>
  <c r="CN405" i="1"/>
  <c r="CM405" i="1"/>
  <c r="CL405" i="1"/>
  <c r="CK405" i="1"/>
  <c r="CN390" i="1"/>
  <c r="CM390" i="1"/>
  <c r="CL390" i="1"/>
  <c r="CK390" i="1"/>
  <c r="Q429" i="11"/>
  <c r="Q430" i="11"/>
  <c r="Q431" i="11"/>
  <c r="Q432" i="11"/>
  <c r="Q433" i="11"/>
  <c r="Q434" i="11"/>
  <c r="Q435" i="11"/>
  <c r="Q436" i="11"/>
  <c r="Q437" i="11"/>
  <c r="Q438" i="11"/>
  <c r="Q439" i="11"/>
  <c r="Q440" i="11"/>
  <c r="Q441" i="11"/>
  <c r="Q442" i="11"/>
  <c r="Q443" i="11"/>
  <c r="Q444" i="11"/>
  <c r="Q445" i="11"/>
  <c r="Q446" i="11"/>
  <c r="Q447" i="11"/>
  <c r="Q448" i="11"/>
  <c r="Q449" i="11"/>
  <c r="Q450" i="11"/>
  <c r="Q451" i="11"/>
  <c r="Q452" i="11"/>
  <c r="Q453" i="11"/>
  <c r="Q454" i="11"/>
  <c r="Q455" i="11"/>
  <c r="Q456" i="11"/>
  <c r="Q457" i="11"/>
  <c r="Q458" i="11"/>
  <c r="Q459" i="11"/>
  <c r="Q460" i="11"/>
  <c r="Q461" i="11"/>
  <c r="Q462" i="11"/>
  <c r="Q463" i="11"/>
  <c r="Q464" i="11"/>
  <c r="Q465" i="11"/>
  <c r="Q466" i="11"/>
  <c r="Q467" i="11"/>
  <c r="Q468" i="11"/>
  <c r="Q469" i="11"/>
  <c r="Q470" i="11"/>
  <c r="Q471" i="11"/>
  <c r="Q472" i="11"/>
  <c r="Q473" i="11"/>
  <c r="Q474" i="11"/>
  <c r="Q475" i="11"/>
  <c r="Q476" i="11"/>
  <c r="Q477" i="11"/>
  <c r="Q478" i="11"/>
  <c r="Q479" i="11"/>
  <c r="Q480" i="11"/>
  <c r="Q481" i="11"/>
  <c r="Q482" i="11"/>
  <c r="Q483" i="11"/>
  <c r="Q484" i="11"/>
  <c r="Q485" i="11"/>
  <c r="Q486" i="11"/>
  <c r="Q487" i="11"/>
  <c r="Q488" i="11"/>
  <c r="Q489" i="11"/>
  <c r="Q490" i="11"/>
  <c r="Q491" i="11"/>
  <c r="Q492" i="11"/>
  <c r="Q493" i="11"/>
  <c r="Q494" i="11"/>
  <c r="Q495" i="11"/>
  <c r="Q496" i="11"/>
  <c r="Q497" i="11"/>
  <c r="Q498" i="11"/>
  <c r="Q499" i="11"/>
  <c r="Q500" i="11"/>
  <c r="Q501" i="11"/>
  <c r="Q502" i="11"/>
  <c r="Q503" i="11"/>
  <c r="Q504" i="11"/>
  <c r="Q505" i="11"/>
  <c r="Q506" i="11"/>
  <c r="Q507" i="11"/>
  <c r="Q508" i="11"/>
  <c r="Q509" i="11"/>
  <c r="Q510" i="11"/>
  <c r="Q511" i="11"/>
  <c r="Q512" i="11"/>
  <c r="Q513" i="11"/>
  <c r="Q514" i="11"/>
  <c r="Q515" i="11"/>
  <c r="Q516" i="11"/>
  <c r="Q517" i="11"/>
  <c r="Q518" i="11"/>
  <c r="Q519" i="11"/>
  <c r="Q520" i="11"/>
  <c r="Q521" i="11"/>
  <c r="Q522" i="11"/>
  <c r="Q523" i="11"/>
  <c r="Q524" i="11"/>
  <c r="Q525" i="11"/>
  <c r="Q526" i="11"/>
  <c r="Q527" i="11"/>
  <c r="Q528" i="11"/>
  <c r="Q529" i="11"/>
  <c r="Q530" i="11"/>
  <c r="Q531" i="11"/>
  <c r="Q532" i="11"/>
  <c r="Q533" i="11"/>
  <c r="Q534" i="11"/>
  <c r="Q535" i="11"/>
  <c r="Q536" i="11"/>
  <c r="Q537" i="11"/>
  <c r="Q428" i="11"/>
  <c r="Q3" i="11"/>
  <c r="CY69" i="1" s="1"/>
  <c r="Q427" i="11"/>
  <c r="Q426" i="11"/>
  <c r="Q425" i="11"/>
  <c r="Q424" i="11"/>
  <c r="Q423" i="11"/>
  <c r="Q422" i="11"/>
  <c r="Q421" i="11"/>
  <c r="Q420" i="11"/>
  <c r="Q419" i="11"/>
  <c r="Q418" i="11"/>
  <c r="Q417" i="11"/>
  <c r="Q416" i="11"/>
  <c r="Q415" i="11"/>
  <c r="Q414" i="11"/>
  <c r="Q413" i="11"/>
  <c r="Q412" i="11"/>
  <c r="Q411" i="11"/>
  <c r="Q410" i="11"/>
  <c r="Q409" i="11"/>
  <c r="Q408" i="11"/>
  <c r="Q407" i="11"/>
  <c r="Q406" i="11"/>
  <c r="Q405" i="11"/>
  <c r="Q404" i="11"/>
  <c r="Q403" i="11"/>
  <c r="Q402" i="11"/>
  <c r="Q401" i="11"/>
  <c r="Q400" i="11"/>
  <c r="Q399" i="11"/>
  <c r="Q398" i="11"/>
  <c r="Q397" i="11"/>
  <c r="Q396" i="11"/>
  <c r="Q395" i="11"/>
  <c r="Q394" i="11"/>
  <c r="Q393" i="11"/>
  <c r="Q392" i="11"/>
  <c r="Q391" i="11"/>
  <c r="Q390" i="11"/>
  <c r="Q389" i="11"/>
  <c r="Q388" i="11"/>
  <c r="Q387" i="11"/>
  <c r="Q386" i="11"/>
  <c r="Q385" i="11"/>
  <c r="Q384" i="11"/>
  <c r="Q383" i="11"/>
  <c r="Q382" i="11"/>
  <c r="Q381" i="11"/>
  <c r="Q380" i="11"/>
  <c r="Q379" i="11"/>
  <c r="Q378" i="11"/>
  <c r="Q377" i="11"/>
  <c r="Q376" i="11"/>
  <c r="Q375" i="11"/>
  <c r="Q374" i="11"/>
  <c r="Q373" i="11"/>
  <c r="Q372" i="11"/>
  <c r="Q371" i="11"/>
  <c r="Q370" i="11"/>
  <c r="Q369" i="11"/>
  <c r="Q368" i="11"/>
  <c r="Q367" i="11"/>
  <c r="Q366" i="11"/>
  <c r="Q365" i="11"/>
  <c r="Q364" i="11"/>
  <c r="Q363" i="11"/>
  <c r="Q362" i="11"/>
  <c r="Q361" i="11"/>
  <c r="Q360" i="11"/>
  <c r="Q359" i="11"/>
  <c r="Q358" i="11"/>
  <c r="Q357" i="11"/>
  <c r="Q356" i="11"/>
  <c r="Q355" i="11"/>
  <c r="Q354" i="11"/>
  <c r="Q353" i="11"/>
  <c r="Q352" i="11"/>
  <c r="Q351" i="11"/>
  <c r="Q350" i="11"/>
  <c r="Q349" i="11"/>
  <c r="Q348" i="11"/>
  <c r="Q347" i="11"/>
  <c r="Q346" i="11"/>
  <c r="Q345" i="11"/>
  <c r="Q344" i="11"/>
  <c r="Q343" i="11"/>
  <c r="Q342" i="11"/>
  <c r="Q341" i="11"/>
  <c r="Q340" i="11"/>
  <c r="Q339" i="11"/>
  <c r="Q338" i="11"/>
  <c r="Q337" i="11"/>
  <c r="Q336" i="11"/>
  <c r="Q335" i="11"/>
  <c r="Q334" i="11"/>
  <c r="Q333" i="11"/>
  <c r="Q332" i="11"/>
  <c r="Q331" i="11"/>
  <c r="Q330" i="11"/>
  <c r="Q329" i="11"/>
  <c r="Q328" i="11"/>
  <c r="Q327" i="11"/>
  <c r="Q326" i="11"/>
  <c r="Q325" i="11"/>
  <c r="Q324" i="11"/>
  <c r="Q323" i="11"/>
  <c r="Q322" i="11"/>
  <c r="Q321" i="11"/>
  <c r="Q320" i="11"/>
  <c r="Q319" i="11"/>
  <c r="Q318" i="11"/>
  <c r="Q317" i="11"/>
  <c r="Q316" i="11"/>
  <c r="Q315" i="11"/>
  <c r="Q314" i="11"/>
  <c r="Q313" i="11"/>
  <c r="Q312" i="11"/>
  <c r="Q311" i="11"/>
  <c r="Q310" i="11"/>
  <c r="Q309" i="11"/>
  <c r="Q308" i="11"/>
  <c r="Q307" i="11"/>
  <c r="Q306" i="11"/>
  <c r="Q305" i="11"/>
  <c r="Q304" i="11"/>
  <c r="Q303" i="11"/>
  <c r="Q302" i="11"/>
  <c r="Q301" i="11"/>
  <c r="Q300" i="11"/>
  <c r="Q299" i="11"/>
  <c r="Q298" i="11"/>
  <c r="Q297" i="11"/>
  <c r="Q296" i="11"/>
  <c r="Q295" i="11"/>
  <c r="Q294" i="11"/>
  <c r="Q293" i="11"/>
  <c r="Q292" i="11"/>
  <c r="Q291" i="11"/>
  <c r="Q290" i="11"/>
  <c r="Q289" i="11"/>
  <c r="Q288" i="11"/>
  <c r="Q287" i="11"/>
  <c r="Q286" i="11"/>
  <c r="Q285" i="11"/>
  <c r="Q284" i="11"/>
  <c r="Q283" i="11"/>
  <c r="Q282" i="11"/>
  <c r="Q281" i="11"/>
  <c r="Q280" i="11"/>
  <c r="Q279" i="11"/>
  <c r="Q278" i="11"/>
  <c r="Q277" i="11"/>
  <c r="Q276" i="11"/>
  <c r="Q275" i="11"/>
  <c r="Q274" i="11"/>
  <c r="Q273" i="11"/>
  <c r="Q272" i="11"/>
  <c r="Q271" i="11"/>
  <c r="Q270" i="11"/>
  <c r="Q269" i="11"/>
  <c r="Q268" i="11"/>
  <c r="Q267" i="11"/>
  <c r="Q266" i="11"/>
  <c r="Q265" i="11"/>
  <c r="Q264" i="11"/>
  <c r="Q263" i="11"/>
  <c r="Q262" i="11"/>
  <c r="Q261" i="11"/>
  <c r="Q260" i="11"/>
  <c r="Q259" i="11"/>
  <c r="Q258" i="11"/>
  <c r="Q257" i="11"/>
  <c r="Q256" i="11"/>
  <c r="Q255" i="11"/>
  <c r="Q254" i="11"/>
  <c r="Q253" i="11"/>
  <c r="Q252" i="11"/>
  <c r="Q251" i="11"/>
  <c r="Q250" i="11"/>
  <c r="Q249" i="11"/>
  <c r="Q248" i="11"/>
  <c r="Q247" i="11"/>
  <c r="Q246" i="11"/>
  <c r="Q245" i="11"/>
  <c r="Q244" i="11"/>
  <c r="Q243" i="11"/>
  <c r="Q242" i="11"/>
  <c r="Q241" i="11"/>
  <c r="Q240" i="11"/>
  <c r="Q239" i="11"/>
  <c r="Q238" i="11"/>
  <c r="Q237" i="11"/>
  <c r="Q236" i="11"/>
  <c r="Q235" i="11"/>
  <c r="Q234" i="11"/>
  <c r="Q233" i="11"/>
  <c r="Q232" i="11"/>
  <c r="Q231" i="11"/>
  <c r="Q230" i="11"/>
  <c r="Q229" i="11"/>
  <c r="Q228" i="11"/>
  <c r="Q227" i="11"/>
  <c r="Q226" i="11"/>
  <c r="Q225" i="11"/>
  <c r="Q224" i="11"/>
  <c r="Q223" i="11"/>
  <c r="Q222" i="11"/>
  <c r="Q221" i="11"/>
  <c r="Q220" i="11"/>
  <c r="Q219" i="11"/>
  <c r="Q218" i="11"/>
  <c r="Q217" i="11"/>
  <c r="Q216" i="11"/>
  <c r="Q215" i="11"/>
  <c r="Q214" i="11"/>
  <c r="Q213" i="11"/>
  <c r="Q212" i="11"/>
  <c r="Q211" i="11"/>
  <c r="Q210" i="11"/>
  <c r="Q209" i="11"/>
  <c r="Q208" i="11"/>
  <c r="Q207" i="11"/>
  <c r="Q206" i="11"/>
  <c r="Q205" i="11"/>
  <c r="Q204" i="11"/>
  <c r="Q203" i="11"/>
  <c r="Q202" i="11"/>
  <c r="Q201" i="11"/>
  <c r="Q200" i="11"/>
  <c r="Q199" i="11"/>
  <c r="Q198" i="11"/>
  <c r="Q197" i="11"/>
  <c r="Q196" i="11"/>
  <c r="Q195" i="11"/>
  <c r="Q194" i="11"/>
  <c r="Q193" i="11"/>
  <c r="Q192" i="11"/>
  <c r="Q191" i="11"/>
  <c r="Q190" i="11"/>
  <c r="Q189" i="11"/>
  <c r="Q188" i="11"/>
  <c r="Q187" i="11"/>
  <c r="Q186" i="11"/>
  <c r="Q185" i="11"/>
  <c r="Q184" i="11"/>
  <c r="Q183" i="11"/>
  <c r="Q182" i="11"/>
  <c r="Q181" i="11"/>
  <c r="Q180" i="11"/>
  <c r="Q179" i="11"/>
  <c r="Q178" i="11"/>
  <c r="Q177" i="11"/>
  <c r="Q176" i="11"/>
  <c r="Q175" i="11"/>
  <c r="Q174" i="11"/>
  <c r="Q173" i="11"/>
  <c r="Q172" i="11"/>
  <c r="Q171" i="11"/>
  <c r="Q170" i="11"/>
  <c r="Q169" i="11"/>
  <c r="Q168" i="11"/>
  <c r="Q167" i="11"/>
  <c r="Q166" i="11"/>
  <c r="Q165" i="11"/>
  <c r="Q164" i="11"/>
  <c r="Q163" i="11"/>
  <c r="Q162" i="11"/>
  <c r="Q161" i="11"/>
  <c r="Q160" i="11"/>
  <c r="Q159" i="11"/>
  <c r="Q158" i="11"/>
  <c r="Q157" i="11"/>
  <c r="Q156" i="11"/>
  <c r="Q155" i="11"/>
  <c r="Q154" i="11"/>
  <c r="Q153" i="11"/>
  <c r="Q152" i="11"/>
  <c r="Q151" i="11"/>
  <c r="Q150" i="11"/>
  <c r="Q149" i="11"/>
  <c r="Q148" i="11"/>
  <c r="Q147" i="11"/>
  <c r="Q146" i="11"/>
  <c r="Q145" i="11"/>
  <c r="Q144" i="11"/>
  <c r="Q143" i="11"/>
  <c r="Q142" i="11"/>
  <c r="Q141" i="11"/>
  <c r="Q140" i="11"/>
  <c r="Q139" i="11"/>
  <c r="Q138" i="11"/>
  <c r="Q137" i="11"/>
  <c r="Q136" i="11"/>
  <c r="Q135" i="11"/>
  <c r="Q134" i="11"/>
  <c r="Q133" i="11"/>
  <c r="Q132" i="11"/>
  <c r="Q131" i="11"/>
  <c r="Q130" i="11"/>
  <c r="Q129" i="11"/>
  <c r="Q128" i="11"/>
  <c r="Q127" i="11"/>
  <c r="Q126" i="11"/>
  <c r="Q125" i="11"/>
  <c r="Q124" i="11"/>
  <c r="Q123" i="11"/>
  <c r="Q122" i="11"/>
  <c r="Q121" i="11"/>
  <c r="Q120" i="11"/>
  <c r="Q119" i="11"/>
  <c r="Q118" i="11"/>
  <c r="Q117" i="11"/>
  <c r="Q116" i="11"/>
  <c r="Q115" i="11"/>
  <c r="Q114" i="11"/>
  <c r="Q113" i="11"/>
  <c r="Q112" i="11"/>
  <c r="Q111" i="11"/>
  <c r="Q110" i="11"/>
  <c r="Q109" i="11"/>
  <c r="Q108" i="11"/>
  <c r="Q107" i="11"/>
  <c r="Q106" i="11"/>
  <c r="Q105" i="11"/>
  <c r="Q104" i="11"/>
  <c r="Q103" i="11"/>
  <c r="Q102" i="11"/>
  <c r="Q101" i="11"/>
  <c r="Q100" i="11"/>
  <c r="Q99" i="11"/>
  <c r="Q98" i="11"/>
  <c r="Q97" i="11"/>
  <c r="Q96" i="11"/>
  <c r="Q95" i="11"/>
  <c r="Q94" i="11"/>
  <c r="Q93" i="11"/>
  <c r="Q92" i="11"/>
  <c r="Q91" i="11"/>
  <c r="Q90" i="11"/>
  <c r="Q89" i="11"/>
  <c r="Q88" i="11"/>
  <c r="Q87" i="11"/>
  <c r="Q86" i="11"/>
  <c r="Q85" i="11"/>
  <c r="Q84" i="11"/>
  <c r="Q83" i="11"/>
  <c r="Q82" i="11"/>
  <c r="Q81" i="11"/>
  <c r="Q80" i="11"/>
  <c r="Q79" i="11"/>
  <c r="Q78" i="11"/>
  <c r="Q77" i="11"/>
  <c r="Q76" i="11"/>
  <c r="Q75" i="11"/>
  <c r="Q74" i="11"/>
  <c r="Q73" i="11"/>
  <c r="Q72" i="11"/>
  <c r="Q71" i="11"/>
  <c r="Q70" i="11"/>
  <c r="Q69" i="11"/>
  <c r="Q68" i="11"/>
  <c r="Q67" i="11"/>
  <c r="Q66" i="11"/>
  <c r="Q65" i="11"/>
  <c r="Q64" i="11"/>
  <c r="Q63" i="11"/>
  <c r="Q62" i="11"/>
  <c r="Q61" i="11"/>
  <c r="Q60" i="11"/>
  <c r="Q59" i="11"/>
  <c r="Q58" i="11"/>
  <c r="Q57" i="11"/>
  <c r="Q56" i="11"/>
  <c r="Q55" i="11"/>
  <c r="Q54" i="11"/>
  <c r="Q53" i="11"/>
  <c r="Q52" i="11"/>
  <c r="Q51" i="11"/>
  <c r="Q50" i="11"/>
  <c r="Q49" i="11"/>
  <c r="Q48" i="11"/>
  <c r="Q47" i="11"/>
  <c r="Q46" i="11"/>
  <c r="Q45" i="11"/>
  <c r="Q44" i="11"/>
  <c r="Q43" i="11"/>
  <c r="Q42" i="11"/>
  <c r="Q41" i="11"/>
  <c r="Q40" i="11"/>
  <c r="Q39" i="11"/>
  <c r="Q38" i="11"/>
  <c r="Q37" i="11"/>
  <c r="Q36" i="11"/>
  <c r="Q35" i="11"/>
  <c r="Q34" i="11"/>
  <c r="Q33" i="11"/>
  <c r="Q32" i="11"/>
  <c r="Q31" i="11"/>
  <c r="Q30" i="11"/>
  <c r="Q29" i="11"/>
  <c r="Q28" i="11"/>
  <c r="Q27" i="11"/>
  <c r="Q26" i="11"/>
  <c r="Q25" i="11"/>
  <c r="Q24" i="11"/>
  <c r="Q23" i="11"/>
  <c r="Q22" i="11"/>
  <c r="Q21" i="11"/>
  <c r="Q20" i="11"/>
  <c r="Q19" i="11"/>
  <c r="Q18" i="11"/>
  <c r="Q17" i="11"/>
  <c r="Q16" i="11"/>
  <c r="Q15" i="11"/>
  <c r="Q14" i="11"/>
  <c r="Q13" i="11"/>
  <c r="Q12" i="11"/>
  <c r="Q11" i="11"/>
  <c r="Q10" i="11"/>
  <c r="Q9" i="11"/>
  <c r="Q8" i="11"/>
  <c r="Q7" i="11"/>
  <c r="Q6" i="11"/>
  <c r="Q5" i="11"/>
  <c r="CY26" i="1" s="1"/>
  <c r="Q4" i="11"/>
  <c r="CY43" i="1" s="1"/>
  <c r="DD43" i="1" s="1"/>
  <c r="DG43" i="1" s="1"/>
  <c r="CY496" i="1" l="1"/>
  <c r="CZ496" i="1" s="1"/>
  <c r="CY506" i="1"/>
  <c r="CY481" i="1"/>
  <c r="CY501" i="1"/>
  <c r="DA501" i="1" s="1"/>
  <c r="CY492" i="1"/>
  <c r="DA492" i="1" s="1"/>
  <c r="CY521" i="1"/>
  <c r="DB521" i="1" s="1"/>
  <c r="CY134" i="1"/>
  <c r="DD134" i="1" s="1"/>
  <c r="DG134" i="1" s="1"/>
  <c r="CY93" i="1"/>
  <c r="DA93" i="1" s="1"/>
  <c r="CY386" i="1"/>
  <c r="DD386" i="1" s="1"/>
  <c r="DG386" i="1" s="1"/>
  <c r="CY418" i="1"/>
  <c r="CY537" i="1"/>
  <c r="CY352" i="1"/>
  <c r="DA352" i="1" s="1"/>
  <c r="CY390" i="1"/>
  <c r="DD390" i="1" s="1"/>
  <c r="DG390" i="1" s="1"/>
  <c r="CY42" i="1"/>
  <c r="DD42" i="1" s="1"/>
  <c r="DG42" i="1" s="1"/>
  <c r="CY385" i="1"/>
  <c r="CZ385" i="1" s="1"/>
  <c r="CY376" i="1"/>
  <c r="DD376" i="1" s="1"/>
  <c r="DG376" i="1" s="1"/>
  <c r="CY369" i="1"/>
  <c r="CZ369" i="1" s="1"/>
  <c r="CY41" i="1"/>
  <c r="CY34" i="1"/>
  <c r="CY270" i="1"/>
  <c r="DE270" i="1" s="1"/>
  <c r="DH270" i="1" s="1"/>
  <c r="CY347" i="1"/>
  <c r="DB347" i="1" s="1"/>
  <c r="CY398" i="1"/>
  <c r="DD398" i="1" s="1"/>
  <c r="DG398" i="1" s="1"/>
  <c r="CY124" i="1"/>
  <c r="DE124" i="1" s="1"/>
  <c r="DH124" i="1" s="1"/>
  <c r="CY37" i="1"/>
  <c r="DE37" i="1" s="1"/>
  <c r="DH37" i="1" s="1"/>
  <c r="CY290" i="1"/>
  <c r="DE290" i="1" s="1"/>
  <c r="DH290" i="1" s="1"/>
  <c r="CY397" i="1"/>
  <c r="CY336" i="1"/>
  <c r="DE336" i="1" s="1"/>
  <c r="DH336" i="1" s="1"/>
  <c r="CY422" i="1"/>
  <c r="DA422" i="1" s="1"/>
  <c r="CY154" i="1"/>
  <c r="DA154" i="1" s="1"/>
  <c r="CY319" i="1"/>
  <c r="CZ319" i="1" s="1"/>
  <c r="CY348" i="1"/>
  <c r="DA348" i="1" s="1"/>
  <c r="CY86" i="1"/>
  <c r="DE86" i="1" s="1"/>
  <c r="DH86" i="1" s="1"/>
  <c r="CY167" i="1"/>
  <c r="DB167" i="1" s="1"/>
  <c r="CY440" i="1"/>
  <c r="CY414" i="1"/>
  <c r="DE414" i="1" s="1"/>
  <c r="DH414" i="1" s="1"/>
  <c r="CY73" i="1"/>
  <c r="CZ73" i="1" s="1"/>
  <c r="CY183" i="1"/>
  <c r="DA183" i="1" s="1"/>
  <c r="CY442" i="1"/>
  <c r="CZ442" i="1" s="1"/>
  <c r="CY104" i="1"/>
  <c r="CZ104" i="1" s="1"/>
  <c r="CY353" i="1"/>
  <c r="DE353" i="1" s="1"/>
  <c r="DH353" i="1" s="1"/>
  <c r="CY335" i="1"/>
  <c r="DA335" i="1" s="1"/>
  <c r="CY323" i="1"/>
  <c r="CY163" i="1"/>
  <c r="CY399" i="1"/>
  <c r="CZ399" i="1" s="1"/>
  <c r="CY47" i="1"/>
  <c r="DB47" i="1" s="1"/>
  <c r="CY85" i="1"/>
  <c r="DE85" i="1" s="1"/>
  <c r="DH85" i="1" s="1"/>
  <c r="CY175" i="1"/>
  <c r="CZ175" i="1" s="1"/>
  <c r="CY281" i="1"/>
  <c r="CZ281" i="1" s="1"/>
  <c r="CY361" i="1"/>
  <c r="DA361" i="1" s="1"/>
  <c r="CY485" i="1"/>
  <c r="CY489" i="1"/>
  <c r="CZ489" i="1" s="1"/>
  <c r="CY380" i="1"/>
  <c r="CZ380" i="1" s="1"/>
  <c r="CY321" i="1"/>
  <c r="DB321" i="1" s="1"/>
  <c r="CY203" i="1"/>
  <c r="CZ203" i="1" s="1"/>
  <c r="CY429" i="1"/>
  <c r="CZ429" i="1" s="1"/>
  <c r="CY23" i="1"/>
  <c r="DE23" i="1" s="1"/>
  <c r="DH23" i="1" s="1"/>
  <c r="CY295" i="1"/>
  <c r="CZ295" i="1" s="1"/>
  <c r="CY434" i="1"/>
  <c r="CY148" i="1"/>
  <c r="DB148" i="1" s="1"/>
  <c r="CY276" i="1"/>
  <c r="CZ276" i="1" s="1"/>
  <c r="CY192" i="1"/>
  <c r="CZ192" i="1" s="1"/>
  <c r="CY193" i="1"/>
  <c r="CZ193" i="1" s="1"/>
  <c r="CY351" i="1"/>
  <c r="CZ351" i="1" s="1"/>
  <c r="CY127" i="1"/>
  <c r="DB127" i="1" s="1"/>
  <c r="CY90" i="1"/>
  <c r="DD90" i="1" s="1"/>
  <c r="DG90" i="1" s="1"/>
  <c r="CY231" i="1"/>
  <c r="CY435" i="1"/>
  <c r="DA435" i="1" s="1"/>
  <c r="CY212" i="1"/>
  <c r="DB212" i="1" s="1"/>
  <c r="CY467" i="1"/>
  <c r="CZ467" i="1" s="1"/>
  <c r="CY493" i="1"/>
  <c r="DA493" i="1" s="1"/>
  <c r="CY465" i="1"/>
  <c r="DA465" i="1" s="1"/>
  <c r="CY529" i="1"/>
  <c r="CZ529" i="1" s="1"/>
  <c r="CY491" i="1"/>
  <c r="CY185" i="1"/>
  <c r="CY523" i="1"/>
  <c r="DB523" i="1" s="1"/>
  <c r="CY326" i="1"/>
  <c r="DA326" i="1" s="1"/>
  <c r="CY234" i="1"/>
  <c r="DA234" i="1" s="1"/>
  <c r="CY423" i="1"/>
  <c r="DA423" i="1" s="1"/>
  <c r="CY409" i="1"/>
  <c r="DA409" i="1" s="1"/>
  <c r="CY516" i="1"/>
  <c r="DA516" i="1" s="1"/>
  <c r="CY333" i="1"/>
  <c r="DE333" i="1" s="1"/>
  <c r="DH333" i="1" s="1"/>
  <c r="CY327" i="1"/>
  <c r="CY77" i="1"/>
  <c r="DE77" i="1" s="1"/>
  <c r="DH77" i="1" s="1"/>
  <c r="CY268" i="1"/>
  <c r="DE268" i="1" s="1"/>
  <c r="DH268" i="1" s="1"/>
  <c r="CY377" i="1"/>
  <c r="DA377" i="1" s="1"/>
  <c r="CY49" i="1"/>
  <c r="CZ49" i="1" s="1"/>
  <c r="CY241" i="1"/>
  <c r="DE241" i="1" s="1"/>
  <c r="DH241" i="1" s="1"/>
  <c r="CY160" i="1"/>
  <c r="DA160" i="1" s="1"/>
  <c r="CY360" i="1"/>
  <c r="CY450" i="1"/>
  <c r="CY53" i="1"/>
  <c r="DB53" i="1" s="1"/>
  <c r="CY130" i="1"/>
  <c r="DE130" i="1" s="1"/>
  <c r="DH130" i="1" s="1"/>
  <c r="CY201" i="1"/>
  <c r="DE201" i="1" s="1"/>
  <c r="DH201" i="1" s="1"/>
  <c r="CY157" i="1"/>
  <c r="DA157" i="1" s="1"/>
  <c r="CY396" i="1"/>
  <c r="DD396" i="1" s="1"/>
  <c r="DG396" i="1" s="1"/>
  <c r="CY145" i="1"/>
  <c r="DD145" i="1" s="1"/>
  <c r="DG145" i="1" s="1"/>
  <c r="CY402" i="1"/>
  <c r="DD402" i="1" s="1"/>
  <c r="DG402" i="1" s="1"/>
  <c r="CY65" i="1"/>
  <c r="CY236" i="1"/>
  <c r="DA236" i="1" s="1"/>
  <c r="CY137" i="1"/>
  <c r="DB137" i="1" s="1"/>
  <c r="CY202" i="1"/>
  <c r="DB202" i="1" s="1"/>
  <c r="CY233" i="1"/>
  <c r="DD233" i="1" s="1"/>
  <c r="DG233" i="1" s="1"/>
  <c r="CY324" i="1"/>
  <c r="DB324" i="1" s="1"/>
  <c r="CY228" i="1"/>
  <c r="DE228" i="1" s="1"/>
  <c r="DH228" i="1" s="1"/>
  <c r="CY45" i="1"/>
  <c r="DB45" i="1" s="1"/>
  <c r="CY237" i="1"/>
  <c r="CY66" i="1"/>
  <c r="DD66" i="1" s="1"/>
  <c r="DG66" i="1" s="1"/>
  <c r="CY152" i="1"/>
  <c r="DD152" i="1" s="1"/>
  <c r="DG152" i="1" s="1"/>
  <c r="CY107" i="1"/>
  <c r="DB107" i="1" s="1"/>
  <c r="CY462" i="1"/>
  <c r="DD462" i="1" s="1"/>
  <c r="DG462" i="1" s="1"/>
  <c r="CY401" i="1"/>
  <c r="DE401" i="1" s="1"/>
  <c r="DH401" i="1" s="1"/>
  <c r="CY151" i="1"/>
  <c r="CZ151" i="1" s="1"/>
  <c r="CY88" i="1"/>
  <c r="DE88" i="1" s="1"/>
  <c r="DH88" i="1" s="1"/>
  <c r="CY24" i="1"/>
  <c r="DD24" i="1" s="1"/>
  <c r="DG24" i="1" s="1"/>
  <c r="CY349" i="1"/>
  <c r="DE349" i="1" s="1"/>
  <c r="DH349" i="1" s="1"/>
  <c r="CY144" i="1"/>
  <c r="CZ144" i="1" s="1"/>
  <c r="CY392" i="1"/>
  <c r="CZ392" i="1" s="1"/>
  <c r="CY477" i="1"/>
  <c r="DD477" i="1" s="1"/>
  <c r="DG477" i="1" s="1"/>
  <c r="CY247" i="1"/>
  <c r="CZ247" i="1" s="1"/>
  <c r="CY366" i="1"/>
  <c r="CZ366" i="1" s="1"/>
  <c r="CY370" i="1"/>
  <c r="DD370" i="1" s="1"/>
  <c r="DG370" i="1" s="1"/>
  <c r="CY388" i="1"/>
  <c r="CY82" i="1"/>
  <c r="DB82" i="1" s="1"/>
  <c r="CY10" i="1"/>
  <c r="CZ10" i="1" s="1"/>
  <c r="CY305" i="1"/>
  <c r="CZ305" i="1" s="1"/>
  <c r="CY315" i="1"/>
  <c r="DA315" i="1" s="1"/>
  <c r="CY16" i="1"/>
  <c r="DD16" i="1" s="1"/>
  <c r="DG16" i="1" s="1"/>
  <c r="CY67" i="1"/>
  <c r="DE67" i="1" s="1"/>
  <c r="DH67" i="1" s="1"/>
  <c r="CY343" i="1"/>
  <c r="DE343" i="1" s="1"/>
  <c r="DH343" i="1" s="1"/>
  <c r="CY309" i="1"/>
  <c r="CY103" i="1"/>
  <c r="DB103" i="1" s="1"/>
  <c r="CY494" i="1"/>
  <c r="CZ494" i="1" s="1"/>
  <c r="CY466" i="1"/>
  <c r="DB466" i="1" s="1"/>
  <c r="CY488" i="1"/>
  <c r="DD488" i="1" s="1"/>
  <c r="DG488" i="1" s="1"/>
  <c r="CY513" i="1"/>
  <c r="DA513" i="1" s="1"/>
  <c r="CY486" i="1"/>
  <c r="DA486" i="1" s="1"/>
  <c r="CY472" i="1"/>
  <c r="CZ472" i="1" s="1"/>
  <c r="CY519" i="1"/>
  <c r="CY221" i="1"/>
  <c r="DB221" i="1" s="1"/>
  <c r="CY272" i="1"/>
  <c r="DE272" i="1" s="1"/>
  <c r="DH272" i="1" s="1"/>
  <c r="CY14" i="1"/>
  <c r="DD14" i="1" s="1"/>
  <c r="DG14" i="1" s="1"/>
  <c r="CY518" i="1"/>
  <c r="DE518" i="1" s="1"/>
  <c r="DH518" i="1" s="1"/>
  <c r="CY395" i="1"/>
  <c r="DE395" i="1" s="1"/>
  <c r="DH395" i="1" s="1"/>
  <c r="CY284" i="1"/>
  <c r="DE284" i="1" s="1"/>
  <c r="DH284" i="1" s="1"/>
  <c r="CY91" i="1"/>
  <c r="DA91" i="1" s="1"/>
  <c r="CY269" i="1"/>
  <c r="DE269" i="1" s="1"/>
  <c r="DH269" i="1" s="1"/>
  <c r="CY413" i="1"/>
  <c r="DA413" i="1" s="1"/>
  <c r="CY267" i="1"/>
  <c r="CZ267" i="1" s="1"/>
  <c r="CY359" i="1"/>
  <c r="DB359" i="1" s="1"/>
  <c r="CY28" i="1"/>
  <c r="DB28" i="1" s="1"/>
  <c r="CY291" i="1"/>
  <c r="DD291" i="1" s="1"/>
  <c r="DG291" i="1" s="1"/>
  <c r="CY457" i="1"/>
  <c r="DE457" i="1" s="1"/>
  <c r="DH457" i="1" s="1"/>
  <c r="CY235" i="1"/>
  <c r="DE235" i="1" s="1"/>
  <c r="DH235" i="1" s="1"/>
  <c r="CY249" i="1"/>
  <c r="DB249" i="1" s="1"/>
  <c r="CY430" i="1"/>
  <c r="DB430" i="1" s="1"/>
  <c r="CY375" i="1"/>
  <c r="DD375" i="1" s="1"/>
  <c r="DG375" i="1" s="1"/>
  <c r="CY365" i="1"/>
  <c r="CZ365" i="1" s="1"/>
  <c r="CY62" i="1"/>
  <c r="CZ62" i="1" s="1"/>
  <c r="CY95" i="1"/>
  <c r="DE95" i="1" s="1"/>
  <c r="DH95" i="1" s="1"/>
  <c r="CY288" i="1"/>
  <c r="DA288" i="1" s="1"/>
  <c r="CY437" i="1"/>
  <c r="DE437" i="1" s="1"/>
  <c r="DH437" i="1" s="1"/>
  <c r="CY275" i="1"/>
  <c r="DB275" i="1" s="1"/>
  <c r="CY240" i="1"/>
  <c r="DD240" i="1" s="1"/>
  <c r="DG240" i="1" s="1"/>
  <c r="CY216" i="1"/>
  <c r="CZ216" i="1" s="1"/>
  <c r="CY393" i="1"/>
  <c r="DE393" i="1" s="1"/>
  <c r="DH393" i="1" s="1"/>
  <c r="CY118" i="1"/>
  <c r="DD118" i="1" s="1"/>
  <c r="DG118" i="1" s="1"/>
  <c r="CY204" i="1"/>
  <c r="CZ204" i="1" s="1"/>
  <c r="CY155" i="1"/>
  <c r="DB155" i="1" s="1"/>
  <c r="CY181" i="1"/>
  <c r="DE181" i="1" s="1"/>
  <c r="DH181" i="1" s="1"/>
  <c r="CY438" i="1"/>
  <c r="DA438" i="1" s="1"/>
  <c r="CY439" i="1"/>
  <c r="CZ439" i="1" s="1"/>
  <c r="CY296" i="1"/>
  <c r="DD296" i="1" s="1"/>
  <c r="DG296" i="1" s="1"/>
  <c r="CY218" i="1"/>
  <c r="DE218" i="1" s="1"/>
  <c r="DH218" i="1" s="1"/>
  <c r="CY112" i="1"/>
  <c r="DA112" i="1" s="1"/>
  <c r="CY328" i="1"/>
  <c r="DB328" i="1" s="1"/>
  <c r="CY70" i="1"/>
  <c r="DE70" i="1" s="1"/>
  <c r="DH70" i="1" s="1"/>
  <c r="CY214" i="1"/>
  <c r="DD214" i="1" s="1"/>
  <c r="DG214" i="1" s="1"/>
  <c r="CY126" i="1"/>
  <c r="DD126" i="1" s="1"/>
  <c r="DG126" i="1" s="1"/>
  <c r="CY431" i="1"/>
  <c r="DE431" i="1" s="1"/>
  <c r="DH431" i="1" s="1"/>
  <c r="CY114" i="1"/>
  <c r="DA114" i="1" s="1"/>
  <c r="CY159" i="1"/>
  <c r="DE159" i="1" s="1"/>
  <c r="DH159" i="1" s="1"/>
  <c r="CY464" i="1"/>
  <c r="DD464" i="1" s="1"/>
  <c r="DG464" i="1" s="1"/>
  <c r="CY532" i="1"/>
  <c r="DE532" i="1" s="1"/>
  <c r="DH532" i="1" s="1"/>
  <c r="CY509" i="1"/>
  <c r="CZ509" i="1" s="1"/>
  <c r="CY522" i="1"/>
  <c r="DE522" i="1" s="1"/>
  <c r="DH522" i="1" s="1"/>
  <c r="CY458" i="1"/>
  <c r="DA458" i="1" s="1"/>
  <c r="CY443" i="1"/>
  <c r="DA443" i="1" s="1"/>
  <c r="CY403" i="1"/>
  <c r="DB403" i="1" s="1"/>
  <c r="CY372" i="1"/>
  <c r="CZ372" i="1" s="1"/>
  <c r="CY198" i="1"/>
  <c r="CZ198" i="1" s="1"/>
  <c r="CY174" i="1"/>
  <c r="DE174" i="1" s="1"/>
  <c r="DH174" i="1" s="1"/>
  <c r="CY460" i="1"/>
  <c r="DA460" i="1" s="1"/>
  <c r="CY143" i="1"/>
  <c r="DE143" i="1" s="1"/>
  <c r="DH143" i="1" s="1"/>
  <c r="CY244" i="1"/>
  <c r="DE244" i="1" s="1"/>
  <c r="DH244" i="1" s="1"/>
  <c r="CY111" i="1"/>
  <c r="DD111" i="1" s="1"/>
  <c r="DG111" i="1" s="1"/>
  <c r="CY362" i="1"/>
  <c r="DB362" i="1" s="1"/>
  <c r="CY475" i="1"/>
  <c r="DE475" i="1" s="1"/>
  <c r="DH475" i="1" s="1"/>
  <c r="CY508" i="1"/>
  <c r="DE508" i="1" s="1"/>
  <c r="DH508" i="1" s="1"/>
  <c r="CY499" i="1"/>
  <c r="CZ499" i="1" s="1"/>
  <c r="CY476" i="1"/>
  <c r="DD476" i="1" s="1"/>
  <c r="DG476" i="1" s="1"/>
  <c r="CY503" i="1"/>
  <c r="CY524" i="1"/>
  <c r="DE524" i="1" s="1"/>
  <c r="DH524" i="1" s="1"/>
  <c r="CY9" i="1"/>
  <c r="DB9" i="1" s="1"/>
  <c r="CY514" i="1"/>
  <c r="DB514" i="1" s="1"/>
  <c r="CY278" i="1"/>
  <c r="DE278" i="1" s="1"/>
  <c r="DH278" i="1" s="1"/>
  <c r="CY33" i="1"/>
  <c r="DE33" i="1" s="1"/>
  <c r="DH33" i="1" s="1"/>
  <c r="CY525" i="1"/>
  <c r="DD525" i="1" s="1"/>
  <c r="DG525" i="1" s="1"/>
  <c r="CY526" i="1"/>
  <c r="DE526" i="1" s="1"/>
  <c r="DH526" i="1" s="1"/>
  <c r="CY8" i="1"/>
  <c r="CZ8" i="1" s="1"/>
  <c r="CY367" i="1"/>
  <c r="DB367" i="1" s="1"/>
  <c r="CY279" i="1"/>
  <c r="DD279" i="1" s="1"/>
  <c r="DG279" i="1" s="1"/>
  <c r="CY428" i="1"/>
  <c r="CZ428" i="1" s="1"/>
  <c r="CY170" i="1"/>
  <c r="DA170" i="1" s="1"/>
  <c r="CY303" i="1"/>
  <c r="DE303" i="1" s="1"/>
  <c r="DH303" i="1" s="1"/>
  <c r="CY260" i="1"/>
  <c r="DD260" i="1" s="1"/>
  <c r="DG260" i="1" s="1"/>
  <c r="CY121" i="1"/>
  <c r="DA121" i="1" s="1"/>
  <c r="CY238" i="1"/>
  <c r="DE238" i="1" s="1"/>
  <c r="DH238" i="1" s="1"/>
  <c r="CY412" i="1"/>
  <c r="CY56" i="1"/>
  <c r="CZ56" i="1" s="1"/>
  <c r="CY421" i="1"/>
  <c r="DB421" i="1" s="1"/>
  <c r="CY346" i="1"/>
  <c r="DE346" i="1" s="1"/>
  <c r="DH346" i="1" s="1"/>
  <c r="CY264" i="1"/>
  <c r="DE264" i="1" s="1"/>
  <c r="DH264" i="1" s="1"/>
  <c r="CY149" i="1"/>
  <c r="DA149" i="1" s="1"/>
  <c r="CY302" i="1"/>
  <c r="DE302" i="1" s="1"/>
  <c r="DH302" i="1" s="1"/>
  <c r="CY11" i="1"/>
  <c r="DB11" i="1" s="1"/>
  <c r="CY196" i="1"/>
  <c r="DA196" i="1" s="1"/>
  <c r="CY389" i="1"/>
  <c r="CZ389" i="1" s="1"/>
  <c r="CY316" i="1"/>
  <c r="DE316" i="1" s="1"/>
  <c r="DH316" i="1" s="1"/>
  <c r="CY271" i="1"/>
  <c r="CZ271" i="1" s="1"/>
  <c r="CY248" i="1"/>
  <c r="DB248" i="1" s="1"/>
  <c r="CY254" i="1"/>
  <c r="DD254" i="1" s="1"/>
  <c r="DG254" i="1" s="1"/>
  <c r="CY310" i="1"/>
  <c r="DE310" i="1" s="1"/>
  <c r="DH310" i="1" s="1"/>
  <c r="CY172" i="1"/>
  <c r="DB172" i="1" s="1"/>
  <c r="CY117" i="1"/>
  <c r="DD117" i="1" s="1"/>
  <c r="DG117" i="1" s="1"/>
  <c r="CY308" i="1"/>
  <c r="DB308" i="1" s="1"/>
  <c r="CY189" i="1"/>
  <c r="DA189" i="1" s="1"/>
  <c r="CY371" i="1"/>
  <c r="DD371" i="1" s="1"/>
  <c r="DG371" i="1" s="1"/>
  <c r="CY200" i="1"/>
  <c r="DE200" i="1" s="1"/>
  <c r="DH200" i="1" s="1"/>
  <c r="CY455" i="1"/>
  <c r="CZ455" i="1" s="1"/>
  <c r="CY30" i="1"/>
  <c r="CZ30" i="1" s="1"/>
  <c r="CY108" i="1"/>
  <c r="DE108" i="1" s="1"/>
  <c r="DH108" i="1" s="1"/>
  <c r="CY446" i="1"/>
  <c r="CY190" i="1"/>
  <c r="DD190" i="1" s="1"/>
  <c r="DG190" i="1" s="1"/>
  <c r="CY4" i="1"/>
  <c r="DB4" i="1" s="1"/>
  <c r="CY63" i="1"/>
  <c r="DB63" i="1" s="1"/>
  <c r="CY490" i="1"/>
  <c r="CZ490" i="1" s="1"/>
  <c r="CY15" i="1"/>
  <c r="CZ15" i="1" s="1"/>
  <c r="CY515" i="1"/>
  <c r="CZ515" i="1" s="1"/>
  <c r="CY44" i="1"/>
  <c r="CZ44" i="1" s="1"/>
  <c r="CY242" i="1"/>
  <c r="CY64" i="1"/>
  <c r="DB64" i="1" s="1"/>
  <c r="CY289" i="1"/>
  <c r="CZ289" i="1" s="1"/>
  <c r="CY60" i="1"/>
  <c r="DB60" i="1" s="1"/>
  <c r="CY257" i="1"/>
  <c r="DA257" i="1" s="1"/>
  <c r="CY285" i="1"/>
  <c r="DD285" i="1" s="1"/>
  <c r="DG285" i="1" s="1"/>
  <c r="CY425" i="1"/>
  <c r="DB425" i="1" s="1"/>
  <c r="CY342" i="1"/>
  <c r="DA342" i="1" s="1"/>
  <c r="CY55" i="1"/>
  <c r="DA55" i="1" s="1"/>
  <c r="CY158" i="1"/>
  <c r="DD158" i="1" s="1"/>
  <c r="DG158" i="1" s="1"/>
  <c r="CY479" i="1"/>
  <c r="DD479" i="1" s="1"/>
  <c r="DG479" i="1" s="1"/>
  <c r="CY487" i="1"/>
  <c r="DE487" i="1" s="1"/>
  <c r="DH487" i="1" s="1"/>
  <c r="CY470" i="1"/>
  <c r="DD470" i="1" s="1"/>
  <c r="DG470" i="1" s="1"/>
  <c r="CY480" i="1"/>
  <c r="DA480" i="1" s="1"/>
  <c r="CY483" i="1"/>
  <c r="DD483" i="1" s="1"/>
  <c r="DG483" i="1" s="1"/>
  <c r="CY46" i="1"/>
  <c r="DE46" i="1" s="1"/>
  <c r="DH46" i="1" s="1"/>
  <c r="CY222" i="1"/>
  <c r="DE222" i="1" s="1"/>
  <c r="DH222" i="1" s="1"/>
  <c r="CY502" i="1"/>
  <c r="DA502" i="1" s="1"/>
  <c r="CY533" i="1"/>
  <c r="DD533" i="1" s="1"/>
  <c r="DG533" i="1" s="1"/>
  <c r="CY147" i="1"/>
  <c r="DA147" i="1" s="1"/>
  <c r="CY120" i="1"/>
  <c r="DA120" i="1" s="1"/>
  <c r="CY528" i="1"/>
  <c r="DA528" i="1" s="1"/>
  <c r="CY119" i="1"/>
  <c r="DD119" i="1" s="1"/>
  <c r="DG119" i="1" s="1"/>
  <c r="CY29" i="1"/>
  <c r="DD29" i="1" s="1"/>
  <c r="DG29" i="1" s="1"/>
  <c r="CY261" i="1"/>
  <c r="DD261" i="1" s="1"/>
  <c r="DG261" i="1" s="1"/>
  <c r="CY424" i="1"/>
  <c r="DA424" i="1" s="1"/>
  <c r="CY404" i="1"/>
  <c r="DD404" i="1" s="1"/>
  <c r="DG404" i="1" s="1"/>
  <c r="CY407" i="1"/>
  <c r="DD407" i="1" s="1"/>
  <c r="DG407" i="1" s="1"/>
  <c r="CY180" i="1"/>
  <c r="DA180" i="1" s="1"/>
  <c r="CY94" i="1"/>
  <c r="DA94" i="1" s="1"/>
  <c r="CY79" i="1"/>
  <c r="DE79" i="1" s="1"/>
  <c r="DH79" i="1" s="1"/>
  <c r="CY350" i="1"/>
  <c r="DE350" i="1" s="1"/>
  <c r="DH350" i="1" s="1"/>
  <c r="CY282" i="1"/>
  <c r="DD282" i="1" s="1"/>
  <c r="DG282" i="1" s="1"/>
  <c r="CY461" i="1"/>
  <c r="DD461" i="1" s="1"/>
  <c r="DG461" i="1" s="1"/>
  <c r="CY97" i="1"/>
  <c r="DD97" i="1" s="1"/>
  <c r="DG97" i="1" s="1"/>
  <c r="CY410" i="1"/>
  <c r="CZ410" i="1" s="1"/>
  <c r="CY18" i="1"/>
  <c r="DE18" i="1" s="1"/>
  <c r="DH18" i="1" s="1"/>
  <c r="CY109" i="1"/>
  <c r="DA109" i="1" s="1"/>
  <c r="CY379" i="1"/>
  <c r="CZ379" i="1" s="1"/>
  <c r="CY382" i="1"/>
  <c r="DE382" i="1" s="1"/>
  <c r="DH382" i="1" s="1"/>
  <c r="CY318" i="1"/>
  <c r="DD318" i="1" s="1"/>
  <c r="DG318" i="1" s="1"/>
  <c r="CY122" i="1"/>
  <c r="DD122" i="1" s="1"/>
  <c r="DG122" i="1" s="1"/>
  <c r="CY304" i="1"/>
  <c r="CZ304" i="1" s="1"/>
  <c r="CY20" i="1"/>
  <c r="CZ20" i="1" s="1"/>
  <c r="CY98" i="1"/>
  <c r="DB98" i="1" s="1"/>
  <c r="CY449" i="1"/>
  <c r="DD449" i="1" s="1"/>
  <c r="DG449" i="1" s="1"/>
  <c r="CY78" i="1"/>
  <c r="DD78" i="1" s="1"/>
  <c r="DG78" i="1" s="1"/>
  <c r="CY211" i="1"/>
  <c r="DE211" i="1" s="1"/>
  <c r="DH211" i="1" s="1"/>
  <c r="CY166" i="1"/>
  <c r="DE166" i="1" s="1"/>
  <c r="DH166" i="1" s="1"/>
  <c r="CY246" i="1"/>
  <c r="DE246" i="1" s="1"/>
  <c r="DH246" i="1" s="1"/>
  <c r="CY251" i="1"/>
  <c r="DD251" i="1" s="1"/>
  <c r="DG251" i="1" s="1"/>
  <c r="CY123" i="1"/>
  <c r="DE123" i="1" s="1"/>
  <c r="DH123" i="1" s="1"/>
  <c r="CY72" i="1"/>
  <c r="DD72" i="1" s="1"/>
  <c r="DG72" i="1" s="1"/>
  <c r="CY207" i="1"/>
  <c r="DB207" i="1" s="1"/>
  <c r="CY156" i="1"/>
  <c r="DE156" i="1" s="1"/>
  <c r="DH156" i="1" s="1"/>
  <c r="CY58" i="1"/>
  <c r="DE58" i="1" s="1"/>
  <c r="DH58" i="1" s="1"/>
  <c r="CY432" i="1"/>
  <c r="DA432" i="1" s="1"/>
  <c r="CY81" i="1"/>
  <c r="DE81" i="1" s="1"/>
  <c r="DH81" i="1" s="1"/>
  <c r="CY19" i="1"/>
  <c r="DD19" i="1" s="1"/>
  <c r="DG19" i="1" s="1"/>
  <c r="CY471" i="1"/>
  <c r="DE471" i="1" s="1"/>
  <c r="DH471" i="1" s="1"/>
  <c r="CY250" i="1"/>
  <c r="DE250" i="1" s="1"/>
  <c r="DH250" i="1" s="1"/>
  <c r="CY536" i="1"/>
  <c r="DB536" i="1" s="1"/>
  <c r="CY330" i="1"/>
  <c r="CZ330" i="1" s="1"/>
  <c r="CY411" i="1"/>
  <c r="CZ411" i="1" s="1"/>
  <c r="CY32" i="1"/>
  <c r="DE32" i="1" s="1"/>
  <c r="DH32" i="1" s="1"/>
  <c r="CY426" i="1"/>
  <c r="DA426" i="1" s="1"/>
  <c r="CY344" i="1"/>
  <c r="CZ344" i="1" s="1"/>
  <c r="CY226" i="1"/>
  <c r="CZ226" i="1" s="1"/>
  <c r="CY223" i="1"/>
  <c r="CZ223" i="1" s="1"/>
  <c r="CY368" i="1"/>
  <c r="CZ368" i="1" s="1"/>
  <c r="CY195" i="1"/>
  <c r="CZ195" i="1" s="1"/>
  <c r="CY445" i="1"/>
  <c r="CZ445" i="1" s="1"/>
  <c r="CY3" i="1"/>
  <c r="DD3" i="1" s="1"/>
  <c r="DG3" i="1" s="1"/>
  <c r="CY384" i="1"/>
  <c r="DE384" i="1" s="1"/>
  <c r="DH384" i="1" s="1"/>
  <c r="CY225" i="1"/>
  <c r="DE225" i="1" s="1"/>
  <c r="DH225" i="1" s="1"/>
  <c r="CY527" i="1"/>
  <c r="DB527" i="1" s="1"/>
  <c r="CY454" i="1"/>
  <c r="CZ454" i="1" s="1"/>
  <c r="CY205" i="1"/>
  <c r="DD205" i="1" s="1"/>
  <c r="DG205" i="1" s="1"/>
  <c r="CY110" i="1"/>
  <c r="DA110" i="1" s="1"/>
  <c r="CY381" i="1"/>
  <c r="DB381" i="1" s="1"/>
  <c r="CY169" i="1"/>
  <c r="DE169" i="1" s="1"/>
  <c r="DH169" i="1" s="1"/>
  <c r="CY153" i="1"/>
  <c r="CZ153" i="1" s="1"/>
  <c r="CY239" i="1"/>
  <c r="DB239" i="1" s="1"/>
  <c r="CY171" i="1"/>
  <c r="DD171" i="1" s="1"/>
  <c r="DG171" i="1" s="1"/>
  <c r="CY224" i="1"/>
  <c r="DE224" i="1" s="1"/>
  <c r="DH224" i="1" s="1"/>
  <c r="CY314" i="1"/>
  <c r="CZ314" i="1" s="1"/>
  <c r="CY283" i="1"/>
  <c r="CZ283" i="1" s="1"/>
  <c r="CY227" i="1"/>
  <c r="DD227" i="1" s="1"/>
  <c r="DG227" i="1" s="1"/>
  <c r="CY186" i="1"/>
  <c r="DE186" i="1" s="1"/>
  <c r="DH186" i="1" s="1"/>
  <c r="CY68" i="1"/>
  <c r="DD68" i="1" s="1"/>
  <c r="DG68" i="1" s="1"/>
  <c r="CY255" i="1"/>
  <c r="DE255" i="1" s="1"/>
  <c r="DH255" i="1" s="1"/>
  <c r="CY188" i="1"/>
  <c r="DA188" i="1" s="1"/>
  <c r="CY262" i="1"/>
  <c r="DA262" i="1" s="1"/>
  <c r="CY298" i="1"/>
  <c r="DA298" i="1" s="1"/>
  <c r="CY265" i="1"/>
  <c r="DA265" i="1" s="1"/>
  <c r="CY136" i="1"/>
  <c r="DA136" i="1" s="1"/>
  <c r="CY230" i="1"/>
  <c r="DA230" i="1" s="1"/>
  <c r="CY92" i="1"/>
  <c r="CZ92" i="1" s="1"/>
  <c r="CY313" i="1"/>
  <c r="DA313" i="1" s="1"/>
  <c r="CY329" i="1"/>
  <c r="CZ329" i="1" s="1"/>
  <c r="CY374" i="1"/>
  <c r="CZ374" i="1" s="1"/>
  <c r="CY31" i="1"/>
  <c r="DB31" i="1" s="1"/>
  <c r="CY194" i="1"/>
  <c r="DE194" i="1" s="1"/>
  <c r="DH194" i="1" s="1"/>
  <c r="CY292" i="1"/>
  <c r="DA292" i="1" s="1"/>
  <c r="CY286" i="1"/>
  <c r="DB286" i="1" s="1"/>
  <c r="CY100" i="1"/>
  <c r="DD100" i="1" s="1"/>
  <c r="DG100" i="1" s="1"/>
  <c r="CY259" i="1"/>
  <c r="DE259" i="1" s="1"/>
  <c r="DH259" i="1" s="1"/>
  <c r="CY59" i="1"/>
  <c r="DE59" i="1" s="1"/>
  <c r="DH59" i="1" s="1"/>
  <c r="CY164" i="1"/>
  <c r="CZ164" i="1" s="1"/>
  <c r="CY179" i="1"/>
  <c r="CZ179" i="1" s="1"/>
  <c r="CY280" i="1"/>
  <c r="DA280" i="1" s="1"/>
  <c r="CY482" i="1"/>
  <c r="CZ482" i="1" s="1"/>
  <c r="CY38" i="1"/>
  <c r="CZ38" i="1" s="1"/>
  <c r="CY135" i="1"/>
  <c r="DD135" i="1" s="1"/>
  <c r="DG135" i="1" s="1"/>
  <c r="CY436" i="1"/>
  <c r="DA436" i="1" s="1"/>
  <c r="CY209" i="1"/>
  <c r="DE209" i="1" s="1"/>
  <c r="DH209" i="1" s="1"/>
  <c r="CY52" i="1"/>
  <c r="DA52" i="1" s="1"/>
  <c r="CY294" i="1"/>
  <c r="CZ294" i="1" s="1"/>
  <c r="CY256" i="1"/>
  <c r="DB256" i="1" s="1"/>
  <c r="CY102" i="1"/>
  <c r="CZ102" i="1" s="1"/>
  <c r="CY337" i="1"/>
  <c r="DB337" i="1" s="1"/>
  <c r="CY300" i="1"/>
  <c r="DB300" i="1" s="1"/>
  <c r="CY232" i="1"/>
  <c r="CZ232" i="1" s="1"/>
  <c r="CY140" i="1"/>
  <c r="DA140" i="1" s="1"/>
  <c r="CY504" i="1"/>
  <c r="DB504" i="1" s="1"/>
  <c r="CY408" i="1"/>
  <c r="DE408" i="1" s="1"/>
  <c r="DH408" i="1" s="1"/>
  <c r="CY459" i="1"/>
  <c r="DB459" i="1" s="1"/>
  <c r="CY451" i="1"/>
  <c r="CZ451" i="1" s="1"/>
  <c r="CY433" i="1"/>
  <c r="DB433" i="1" s="1"/>
  <c r="CY173" i="1"/>
  <c r="DA173" i="1" s="1"/>
  <c r="CY168" i="1"/>
  <c r="DA168" i="1" s="1"/>
  <c r="CY473" i="1"/>
  <c r="DA473" i="1" s="1"/>
  <c r="CY478" i="1"/>
  <c r="DA478" i="1" s="1"/>
  <c r="CY510" i="1"/>
  <c r="DD510" i="1" s="1"/>
  <c r="DG510" i="1" s="1"/>
  <c r="CY469" i="1"/>
  <c r="DA469" i="1" s="1"/>
  <c r="CY512" i="1"/>
  <c r="DA512" i="1" s="1"/>
  <c r="CY320" i="1"/>
  <c r="DA320" i="1" s="1"/>
  <c r="CY400" i="1"/>
  <c r="DE400" i="1" s="1"/>
  <c r="DH400" i="1" s="1"/>
  <c r="CY139" i="1"/>
  <c r="DA139" i="1" s="1"/>
  <c r="CY511" i="1"/>
  <c r="DA511" i="1" s="1"/>
  <c r="CY517" i="1"/>
  <c r="DA517" i="1" s="1"/>
  <c r="CY6" i="1"/>
  <c r="DA6" i="1" s="1"/>
  <c r="CY520" i="1"/>
  <c r="DA520" i="1" s="1"/>
  <c r="CY364" i="1"/>
  <c r="DA364" i="1" s="1"/>
  <c r="CY416" i="1"/>
  <c r="CZ416" i="1" s="1"/>
  <c r="CY301" i="1"/>
  <c r="DD301" i="1" s="1"/>
  <c r="DG301" i="1" s="1"/>
  <c r="CY266" i="1"/>
  <c r="DA266" i="1" s="1"/>
  <c r="CY378" i="1"/>
  <c r="DA378" i="1" s="1"/>
  <c r="CY419" i="1"/>
  <c r="DE419" i="1" s="1"/>
  <c r="DH419" i="1" s="1"/>
  <c r="CY358" i="1"/>
  <c r="DA358" i="1" s="1"/>
  <c r="CY441" i="1"/>
  <c r="DA441" i="1" s="1"/>
  <c r="CY27" i="1"/>
  <c r="DA27" i="1" s="1"/>
  <c r="CY444" i="1"/>
  <c r="DE444" i="1" s="1"/>
  <c r="DH444" i="1" s="1"/>
  <c r="CY80" i="1"/>
  <c r="DE80" i="1" s="1"/>
  <c r="DH80" i="1" s="1"/>
  <c r="CY162" i="1"/>
  <c r="DA162" i="1" s="1"/>
  <c r="CY354" i="1"/>
  <c r="DA354" i="1" s="1"/>
  <c r="CY7" i="1"/>
  <c r="DA7" i="1" s="1"/>
  <c r="CY215" i="1"/>
  <c r="CZ215" i="1" s="1"/>
  <c r="CY229" i="1"/>
  <c r="DE229" i="1" s="1"/>
  <c r="DH229" i="1" s="1"/>
  <c r="CY258" i="1"/>
  <c r="DE258" i="1" s="1"/>
  <c r="DH258" i="1" s="1"/>
  <c r="CY210" i="1"/>
  <c r="DB210" i="1" s="1"/>
  <c r="CY184" i="1"/>
  <c r="CZ184" i="1" s="1"/>
  <c r="CY245" i="1"/>
  <c r="DD245" i="1" s="1"/>
  <c r="DG245" i="1" s="1"/>
  <c r="CY150" i="1"/>
  <c r="DE150" i="1" s="1"/>
  <c r="DH150" i="1" s="1"/>
  <c r="CY96" i="1"/>
  <c r="CZ96" i="1" s="1"/>
  <c r="CY252" i="1"/>
  <c r="DA252" i="1" s="1"/>
  <c r="CY332" i="1"/>
  <c r="CZ332" i="1" s="1"/>
  <c r="CY363" i="1"/>
  <c r="CZ363" i="1" s="1"/>
  <c r="CY448" i="1"/>
  <c r="DB448" i="1" s="1"/>
  <c r="CY187" i="1"/>
  <c r="DD187" i="1" s="1"/>
  <c r="DG187" i="1" s="1"/>
  <c r="CY331" i="1"/>
  <c r="DB331" i="1" s="1"/>
  <c r="CY75" i="1"/>
  <c r="DB75" i="1" s="1"/>
  <c r="CY105" i="1"/>
  <c r="CZ105" i="1" s="1"/>
  <c r="CY12" i="1"/>
  <c r="DB12" i="1" s="1"/>
  <c r="CY99" i="1"/>
  <c r="DA99" i="1" s="1"/>
  <c r="CY25" i="1"/>
  <c r="DD25" i="1" s="1"/>
  <c r="DG25" i="1" s="1"/>
  <c r="CY274" i="1"/>
  <c r="CZ274" i="1" s="1"/>
  <c r="CY387" i="1"/>
  <c r="CZ387" i="1" s="1"/>
  <c r="CY217" i="1"/>
  <c r="DE217" i="1" s="1"/>
  <c r="DH217" i="1" s="1"/>
  <c r="CY132" i="1"/>
  <c r="CZ132" i="1" s="1"/>
  <c r="CY463" i="1"/>
  <c r="CZ463" i="1" s="1"/>
  <c r="CY373" i="1"/>
  <c r="CZ373" i="1" s="1"/>
  <c r="CY339" i="1"/>
  <c r="CZ339" i="1" s="1"/>
  <c r="CY312" i="1"/>
  <c r="CZ312" i="1" s="1"/>
  <c r="CY146" i="1"/>
  <c r="DD146" i="1" s="1"/>
  <c r="DG146" i="1" s="1"/>
  <c r="CY355" i="1"/>
  <c r="DB355" i="1" s="1"/>
  <c r="CY74" i="1"/>
  <c r="DB74" i="1" s="1"/>
  <c r="CY391" i="1"/>
  <c r="CZ391" i="1" s="1"/>
  <c r="CY21" i="1"/>
  <c r="CZ21" i="1" s="1"/>
  <c r="CY277" i="1"/>
  <c r="DE277" i="1" s="1"/>
  <c r="DH277" i="1" s="1"/>
  <c r="CY322" i="1"/>
  <c r="DD322" i="1" s="1"/>
  <c r="DG322" i="1" s="1"/>
  <c r="CY51" i="1"/>
  <c r="DB51" i="1" s="1"/>
  <c r="CY113" i="1"/>
  <c r="DE113" i="1" s="1"/>
  <c r="DH113" i="1" s="1"/>
  <c r="CY500" i="1"/>
  <c r="DE500" i="1" s="1"/>
  <c r="DH500" i="1" s="1"/>
  <c r="CY142" i="1"/>
  <c r="CZ142" i="1" s="1"/>
  <c r="CY83" i="1"/>
  <c r="DD83" i="1" s="1"/>
  <c r="DG83" i="1" s="1"/>
  <c r="CY405" i="1"/>
  <c r="CZ405" i="1" s="1"/>
  <c r="CY468" i="1"/>
  <c r="DB468" i="1" s="1"/>
  <c r="CY507" i="1"/>
  <c r="DE507" i="1" s="1"/>
  <c r="DH507" i="1" s="1"/>
  <c r="CY534" i="1"/>
  <c r="DE534" i="1" s="1"/>
  <c r="DH534" i="1" s="1"/>
  <c r="CY498" i="1"/>
  <c r="DB498" i="1" s="1"/>
  <c r="CY495" i="1"/>
  <c r="CZ495" i="1" s="1"/>
  <c r="CY36" i="1"/>
  <c r="DD36" i="1" s="1"/>
  <c r="DG36" i="1" s="1"/>
  <c r="CY530" i="1"/>
  <c r="DD530" i="1" s="1"/>
  <c r="DG530" i="1" s="1"/>
  <c r="CY129" i="1"/>
  <c r="DE129" i="1" s="1"/>
  <c r="DH129" i="1" s="1"/>
  <c r="CY535" i="1"/>
  <c r="DB535" i="1" s="1"/>
  <c r="CY197" i="1"/>
  <c r="DE197" i="1" s="1"/>
  <c r="DH197" i="1" s="1"/>
  <c r="CY54" i="1"/>
  <c r="DE54" i="1" s="1"/>
  <c r="DH54" i="1" s="1"/>
  <c r="CY5" i="1"/>
  <c r="DD5" i="1" s="1"/>
  <c r="DG5" i="1" s="1"/>
  <c r="CY452" i="1"/>
  <c r="DE452" i="1" s="1"/>
  <c r="DH452" i="1" s="1"/>
  <c r="CY293" i="1"/>
  <c r="DE293" i="1" s="1"/>
  <c r="DH293" i="1" s="1"/>
  <c r="CY287" i="1"/>
  <c r="DD287" i="1" s="1"/>
  <c r="DG287" i="1" s="1"/>
  <c r="CY133" i="1"/>
  <c r="DE133" i="1" s="1"/>
  <c r="DH133" i="1" s="1"/>
  <c r="CY208" i="1"/>
  <c r="DE208" i="1" s="1"/>
  <c r="DH208" i="1" s="1"/>
  <c r="CY340" i="1"/>
  <c r="DD340" i="1" s="1"/>
  <c r="DG340" i="1" s="1"/>
  <c r="CY273" i="1"/>
  <c r="CZ273" i="1" s="1"/>
  <c r="CY325" i="1"/>
  <c r="DD325" i="1" s="1"/>
  <c r="DG325" i="1" s="1"/>
  <c r="CY57" i="1"/>
  <c r="DD57" i="1" s="1"/>
  <c r="DG57" i="1" s="1"/>
  <c r="CY17" i="1"/>
  <c r="DB17" i="1" s="1"/>
  <c r="CY182" i="1"/>
  <c r="DE182" i="1" s="1"/>
  <c r="DH182" i="1" s="1"/>
  <c r="CY306" i="1"/>
  <c r="DB306" i="1" s="1"/>
  <c r="CY415" i="1"/>
  <c r="CZ415" i="1" s="1"/>
  <c r="CY71" i="1"/>
  <c r="DE71" i="1" s="1"/>
  <c r="DH71" i="1" s="1"/>
  <c r="CY89" i="1"/>
  <c r="DA89" i="1" s="1"/>
  <c r="CY101" i="1"/>
  <c r="DD101" i="1" s="1"/>
  <c r="DG101" i="1" s="1"/>
  <c r="CY219" i="1"/>
  <c r="DB219" i="1" s="1"/>
  <c r="CY307" i="1"/>
  <c r="DE307" i="1" s="1"/>
  <c r="DH307" i="1" s="1"/>
  <c r="CY334" i="1"/>
  <c r="DD334" i="1" s="1"/>
  <c r="DG334" i="1" s="1"/>
  <c r="CY131" i="1"/>
  <c r="DB131" i="1" s="1"/>
  <c r="CY191" i="1"/>
  <c r="DE191" i="1" s="1"/>
  <c r="DH191" i="1" s="1"/>
  <c r="CY338" i="1"/>
  <c r="DE338" i="1" s="1"/>
  <c r="DH338" i="1" s="1"/>
  <c r="CY299" i="1"/>
  <c r="DE299" i="1" s="1"/>
  <c r="DH299" i="1" s="1"/>
  <c r="CY297" i="1"/>
  <c r="DE297" i="1" s="1"/>
  <c r="DH297" i="1" s="1"/>
  <c r="CY356" i="1"/>
  <c r="DD356" i="1" s="1"/>
  <c r="DG356" i="1" s="1"/>
  <c r="CY178" i="1"/>
  <c r="DA178" i="1" s="1"/>
  <c r="CY447" i="1"/>
  <c r="DA447" i="1" s="1"/>
  <c r="CY243" i="1"/>
  <c r="DD243" i="1" s="1"/>
  <c r="DG243" i="1" s="1"/>
  <c r="CY84" i="1"/>
  <c r="DE84" i="1" s="1"/>
  <c r="DH84" i="1" s="1"/>
  <c r="CY125" i="1"/>
  <c r="DE125" i="1" s="1"/>
  <c r="DH125" i="1" s="1"/>
  <c r="CY253" i="1"/>
  <c r="DD253" i="1" s="1"/>
  <c r="DG253" i="1" s="1"/>
  <c r="CY50" i="1"/>
  <c r="DE50" i="1" s="1"/>
  <c r="DH50" i="1" s="1"/>
  <c r="CY317" i="1"/>
  <c r="DE317" i="1" s="1"/>
  <c r="DH317" i="1" s="1"/>
  <c r="CY22" i="1"/>
  <c r="DD22" i="1" s="1"/>
  <c r="DG22" i="1" s="1"/>
  <c r="CY206" i="1"/>
  <c r="DE206" i="1" s="1"/>
  <c r="DH206" i="1" s="1"/>
  <c r="CY106" i="1"/>
  <c r="DE106" i="1" s="1"/>
  <c r="DH106" i="1" s="1"/>
  <c r="CY128" i="1"/>
  <c r="DD128" i="1" s="1"/>
  <c r="DG128" i="1" s="1"/>
  <c r="CY531" i="1"/>
  <c r="DE531" i="1" s="1"/>
  <c r="DH531" i="1" s="1"/>
  <c r="CY505" i="1"/>
  <c r="CZ505" i="1" s="1"/>
  <c r="CY406" i="1"/>
  <c r="DA406" i="1" s="1"/>
  <c r="CY453" i="1"/>
  <c r="DD453" i="1" s="1"/>
  <c r="DG453" i="1" s="1"/>
  <c r="CY427" i="1"/>
  <c r="CZ427" i="1" s="1"/>
  <c r="CY420" i="1"/>
  <c r="DB420" i="1" s="1"/>
  <c r="CY383" i="1"/>
  <c r="CZ383" i="1" s="1"/>
  <c r="CY341" i="1"/>
  <c r="CZ341" i="1" s="1"/>
  <c r="CY138" i="1"/>
  <c r="DD138" i="1" s="1"/>
  <c r="DG138" i="1" s="1"/>
  <c r="CY61" i="1"/>
  <c r="DA61" i="1" s="1"/>
  <c r="CY177" i="1"/>
  <c r="DE177" i="1" s="1"/>
  <c r="DH177" i="1" s="1"/>
  <c r="CY199" i="1"/>
  <c r="DA199" i="1" s="1"/>
  <c r="CY345" i="1"/>
  <c r="DD345" i="1" s="1"/>
  <c r="DG345" i="1" s="1"/>
  <c r="X6" i="13"/>
  <c r="S6" i="13"/>
  <c r="N6" i="13"/>
  <c r="I6" i="13"/>
  <c r="D6" i="13"/>
  <c r="DB43" i="1"/>
  <c r="CY141" i="1"/>
  <c r="DE141" i="1" s="1"/>
  <c r="DH141" i="1" s="1"/>
  <c r="CY176" i="1"/>
  <c r="DB176" i="1" s="1"/>
  <c r="CY417" i="1"/>
  <c r="DB417" i="1" s="1"/>
  <c r="CY497" i="1"/>
  <c r="DB497" i="1" s="1"/>
  <c r="CY115" i="1"/>
  <c r="DD115" i="1" s="1"/>
  <c r="DG115" i="1" s="1"/>
  <c r="CY39" i="1"/>
  <c r="DA39" i="1" s="1"/>
  <c r="CY213" i="1"/>
  <c r="DA213" i="1" s="1"/>
  <c r="CY116" i="1"/>
  <c r="DE116" i="1" s="1"/>
  <c r="DH116" i="1" s="1"/>
  <c r="CY474" i="1"/>
  <c r="DB474" i="1" s="1"/>
  <c r="CY40" i="1"/>
  <c r="CZ40" i="1" s="1"/>
  <c r="CY35" i="1"/>
  <c r="CZ35" i="1" s="1"/>
  <c r="CY394" i="1"/>
  <c r="CZ394" i="1" s="1"/>
  <c r="CY220" i="1"/>
  <c r="CZ220" i="1" s="1"/>
  <c r="CY311" i="1"/>
  <c r="CZ311" i="1" s="1"/>
  <c r="CY87" i="1"/>
  <c r="CZ87" i="1" s="1"/>
  <c r="CY13" i="1"/>
  <c r="CZ13" i="1" s="1"/>
  <c r="CY161" i="1"/>
  <c r="CZ161" i="1" s="1"/>
  <c r="CY484" i="1"/>
  <c r="DA484" i="1" s="1"/>
  <c r="CY357" i="1"/>
  <c r="DA357" i="1" s="1"/>
  <c r="CY165" i="1"/>
  <c r="DE165" i="1" s="1"/>
  <c r="DH165" i="1" s="1"/>
  <c r="CY76" i="1"/>
  <c r="DB76" i="1" s="1"/>
  <c r="CY48" i="1"/>
  <c r="DD48" i="1" s="1"/>
  <c r="DG48" i="1" s="1"/>
  <c r="CY456" i="1"/>
  <c r="DA456" i="1" s="1"/>
  <c r="CY263" i="1"/>
  <c r="DE263" i="1" s="1"/>
  <c r="DH263" i="1" s="1"/>
  <c r="DA43" i="1"/>
  <c r="CZ4" i="1"/>
  <c r="DD481" i="1"/>
  <c r="DG481" i="1" s="1"/>
  <c r="DB481" i="1"/>
  <c r="DA481" i="1"/>
  <c r="DB268" i="1"/>
  <c r="DA268" i="1"/>
  <c r="DB450" i="1"/>
  <c r="CZ421" i="1"/>
  <c r="DB485" i="1"/>
  <c r="DD485" i="1"/>
  <c r="DG485" i="1" s="1"/>
  <c r="DA485" i="1"/>
  <c r="CZ450" i="1"/>
  <c r="DD524" i="1"/>
  <c r="DG524" i="1" s="1"/>
  <c r="DA523" i="1"/>
  <c r="DA386" i="1"/>
  <c r="DD352" i="1"/>
  <c r="DG352" i="1" s="1"/>
  <c r="DB352" i="1"/>
  <c r="DE352" i="1"/>
  <c r="DH352" i="1" s="1"/>
  <c r="DD269" i="1"/>
  <c r="DG269" i="1" s="1"/>
  <c r="DA269" i="1"/>
  <c r="DE41" i="1"/>
  <c r="DH41" i="1" s="1"/>
  <c r="CZ41" i="1"/>
  <c r="DD231" i="1"/>
  <c r="DG231" i="1" s="1"/>
  <c r="CZ231" i="1"/>
  <c r="DB196" i="1"/>
  <c r="DD236" i="1"/>
  <c r="DG236" i="1" s="1"/>
  <c r="DB236" i="1"/>
  <c r="DE216" i="1"/>
  <c r="DH216" i="1" s="1"/>
  <c r="DE73" i="1"/>
  <c r="DH73" i="1" s="1"/>
  <c r="DD73" i="1"/>
  <c r="DG73" i="1" s="1"/>
  <c r="DB73" i="1"/>
  <c r="DE438" i="1"/>
  <c r="DH438" i="1" s="1"/>
  <c r="DD438" i="1"/>
  <c r="DG438" i="1" s="1"/>
  <c r="DE152" i="1"/>
  <c r="DH152" i="1" s="1"/>
  <c r="DB152" i="1"/>
  <c r="CZ152" i="1"/>
  <c r="DD323" i="1"/>
  <c r="DG323" i="1" s="1"/>
  <c r="DE24" i="1"/>
  <c r="DH24" i="1" s="1"/>
  <c r="DA24" i="1"/>
  <c r="DE185" i="1"/>
  <c r="DH185" i="1" s="1"/>
  <c r="DE362" i="1"/>
  <c r="DH362" i="1" s="1"/>
  <c r="DD362" i="1"/>
  <c r="DG362" i="1" s="1"/>
  <c r="CZ362" i="1"/>
  <c r="DE514" i="1"/>
  <c r="DH514" i="1" s="1"/>
  <c r="DE367" i="1"/>
  <c r="DH367" i="1" s="1"/>
  <c r="CZ367" i="1"/>
  <c r="CZ261" i="1"/>
  <c r="DD267" i="1"/>
  <c r="DG267" i="1" s="1"/>
  <c r="DB267" i="1"/>
  <c r="DA270" i="1"/>
  <c r="DD249" i="1"/>
  <c r="DG249" i="1" s="1"/>
  <c r="DD130" i="1"/>
  <c r="DG130" i="1" s="1"/>
  <c r="DD397" i="1"/>
  <c r="DG397" i="1" s="1"/>
  <c r="CZ397" i="1"/>
  <c r="CZ435" i="1"/>
  <c r="DB435" i="1"/>
  <c r="DB65" i="1"/>
  <c r="CZ316" i="1"/>
  <c r="DB414" i="1"/>
  <c r="DD166" i="1"/>
  <c r="DG166" i="1" s="1"/>
  <c r="DB296" i="1"/>
  <c r="DE399" i="1"/>
  <c r="DH399" i="1" s="1"/>
  <c r="DB126" i="1"/>
  <c r="DA126" i="1"/>
  <c r="DE144" i="1"/>
  <c r="DH144" i="1" s="1"/>
  <c r="DA144" i="1"/>
  <c r="CZ458" i="1"/>
  <c r="CZ117" i="1"/>
  <c r="DA336" i="1"/>
  <c r="DD506" i="1"/>
  <c r="DG506" i="1" s="1"/>
  <c r="DB506" i="1"/>
  <c r="DD537" i="1"/>
  <c r="DG537" i="1" s="1"/>
  <c r="DB537" i="1"/>
  <c r="DA537" i="1"/>
  <c r="DD501" i="1"/>
  <c r="DG501" i="1" s="1"/>
  <c r="DE501" i="1"/>
  <c r="DH501" i="1" s="1"/>
  <c r="DB501" i="1"/>
  <c r="DE519" i="1"/>
  <c r="DH519" i="1" s="1"/>
  <c r="DD326" i="1"/>
  <c r="DG326" i="1" s="1"/>
  <c r="DE326" i="1"/>
  <c r="DH326" i="1" s="1"/>
  <c r="CZ326" i="1"/>
  <c r="DE418" i="1"/>
  <c r="DH418" i="1" s="1"/>
  <c r="CZ418" i="1"/>
  <c r="DB327" i="1"/>
  <c r="DE327" i="1"/>
  <c r="DH327" i="1" s="1"/>
  <c r="CZ327" i="1"/>
  <c r="DD428" i="1"/>
  <c r="DG428" i="1" s="1"/>
  <c r="DB428" i="1"/>
  <c r="DB34" i="1"/>
  <c r="CZ34" i="1"/>
  <c r="DB26" i="1"/>
  <c r="DE26" i="1"/>
  <c r="DH26" i="1" s="1"/>
  <c r="CZ26" i="1"/>
  <c r="DD26" i="1"/>
  <c r="DG26" i="1" s="1"/>
  <c r="CZ412" i="1"/>
  <c r="DA412" i="1"/>
  <c r="DB412" i="1"/>
  <c r="DB375" i="1"/>
  <c r="DD422" i="1"/>
  <c r="DG422" i="1" s="1"/>
  <c r="DB422" i="1"/>
  <c r="CZ422" i="1"/>
  <c r="DE275" i="1"/>
  <c r="DH275" i="1" s="1"/>
  <c r="DD275" i="1"/>
  <c r="DG275" i="1" s="1"/>
  <c r="CZ275" i="1"/>
  <c r="DA275" i="1"/>
  <c r="DE137" i="1"/>
  <c r="DH137" i="1" s="1"/>
  <c r="DE440" i="1"/>
  <c r="DH440" i="1" s="1"/>
  <c r="DB440" i="1"/>
  <c r="DD440" i="1"/>
  <c r="DG440" i="1" s="1"/>
  <c r="DD237" i="1"/>
  <c r="DG237" i="1" s="1"/>
  <c r="DB237" i="1"/>
  <c r="CZ251" i="1"/>
  <c r="DE163" i="1"/>
  <c r="DH163" i="1" s="1"/>
  <c r="DA163" i="1"/>
  <c r="DD446" i="1"/>
  <c r="DG446" i="1" s="1"/>
  <c r="DE446" i="1"/>
  <c r="DH446" i="1" s="1"/>
  <c r="CZ114" i="1"/>
  <c r="DE114" i="1"/>
  <c r="DH114" i="1" s="1"/>
  <c r="DB114" i="1"/>
  <c r="DA249" i="1"/>
  <c r="DA375" i="1"/>
  <c r="DA65" i="1"/>
  <c r="DA137" i="1"/>
  <c r="DC137" i="1" s="1"/>
  <c r="DB446" i="1"/>
  <c r="DD414" i="1"/>
  <c r="DG414" i="1" s="1"/>
  <c r="DB380" i="1"/>
  <c r="DA380" i="1"/>
  <c r="DD380" i="1"/>
  <c r="DG380" i="1" s="1"/>
  <c r="DE388" i="1"/>
  <c r="DH388" i="1" s="1"/>
  <c r="DA388" i="1"/>
  <c r="DB458" i="1"/>
  <c r="DE242" i="1"/>
  <c r="DH242" i="1" s="1"/>
  <c r="DB242" i="1"/>
  <c r="DA32" i="1"/>
  <c r="DE403" i="1"/>
  <c r="DH403" i="1" s="1"/>
  <c r="DE289" i="1"/>
  <c r="DH289" i="1" s="1"/>
  <c r="DB289" i="1"/>
  <c r="DA212" i="1"/>
  <c r="DC212" i="1" s="1"/>
  <c r="DE212" i="1"/>
  <c r="DH212" i="1" s="1"/>
  <c r="DE434" i="1"/>
  <c r="DH434" i="1" s="1"/>
  <c r="DB434" i="1"/>
  <c r="DA434" i="1"/>
  <c r="DD148" i="1"/>
  <c r="DG148" i="1" s="1"/>
  <c r="DE276" i="1"/>
  <c r="DH276" i="1" s="1"/>
  <c r="DB276" i="1"/>
  <c r="DA276" i="1"/>
  <c r="DE309" i="1"/>
  <c r="DH309" i="1" s="1"/>
  <c r="DA309" i="1"/>
  <c r="DD244" i="1"/>
  <c r="DG244" i="1" s="1"/>
  <c r="DB244" i="1"/>
  <c r="DA244" i="1"/>
  <c r="CZ244" i="1"/>
  <c r="CZ212" i="1"/>
  <c r="CZ309" i="1"/>
  <c r="DA362" i="1"/>
  <c r="DA26" i="1"/>
  <c r="DB519" i="1"/>
  <c r="DB69" i="1"/>
  <c r="DE69" i="1"/>
  <c r="DH69" i="1" s="1"/>
  <c r="DD69" i="1"/>
  <c r="DG69" i="1" s="1"/>
  <c r="CZ69" i="1"/>
  <c r="CZ43" i="1"/>
  <c r="DD4" i="1"/>
  <c r="DG4" i="1" s="1"/>
  <c r="DE43" i="1"/>
  <c r="DH43" i="1" s="1"/>
  <c r="DA69" i="1"/>
  <c r="H4" i="3"/>
  <c r="I4" i="3" s="1"/>
  <c r="CN454" i="1"/>
  <c r="CN468" i="1"/>
  <c r="CN496" i="1"/>
  <c r="CN497" i="1"/>
  <c r="CN467" i="1"/>
  <c r="CN466" i="1"/>
  <c r="CN475" i="1"/>
  <c r="CN474" i="1"/>
  <c r="CN479" i="1"/>
  <c r="CN500" i="1"/>
  <c r="CN473" i="1"/>
  <c r="CN484" i="1"/>
  <c r="CN507" i="1"/>
  <c r="CN506" i="1"/>
  <c r="CN493" i="1"/>
  <c r="CN531" i="1"/>
  <c r="CN488" i="1"/>
  <c r="CN508" i="1"/>
  <c r="CN487" i="1"/>
  <c r="CN485" i="1"/>
  <c r="CN494" i="1"/>
  <c r="CN478" i="1"/>
  <c r="CN534" i="1"/>
  <c r="CN477" i="1"/>
  <c r="CN481" i="1"/>
  <c r="CN465" i="1"/>
  <c r="CN513" i="1"/>
  <c r="CN464" i="1"/>
  <c r="CN499" i="1"/>
  <c r="CN470" i="1"/>
  <c r="CN527" i="1"/>
  <c r="CN490" i="1"/>
  <c r="CN510" i="1"/>
  <c r="CN498" i="1"/>
  <c r="CN501" i="1"/>
  <c r="CN471" i="1"/>
  <c r="CN529" i="1"/>
  <c r="CN486" i="1"/>
  <c r="CN476" i="1"/>
  <c r="CN482" i="1"/>
  <c r="CN480" i="1"/>
  <c r="CN504" i="1"/>
  <c r="CN469" i="1"/>
  <c r="CN463" i="1"/>
  <c r="CN495" i="1"/>
  <c r="CN492" i="1"/>
  <c r="CN491" i="1"/>
  <c r="CN505" i="1"/>
  <c r="CN472" i="1"/>
  <c r="CN503" i="1"/>
  <c r="CN483" i="1"/>
  <c r="CN489" i="1"/>
  <c r="CN142" i="1"/>
  <c r="CN512" i="1"/>
  <c r="CN36" i="1"/>
  <c r="CN40" i="1"/>
  <c r="CN521" i="1"/>
  <c r="CN185" i="1"/>
  <c r="CN519" i="1"/>
  <c r="CN524" i="1"/>
  <c r="CN46" i="1"/>
  <c r="CN408" i="1"/>
  <c r="CN247" i="1"/>
  <c r="CN320" i="1"/>
  <c r="CN530" i="1"/>
  <c r="CN134" i="1"/>
  <c r="CN532" i="1"/>
  <c r="CN523" i="1"/>
  <c r="CN221" i="1"/>
  <c r="CN9" i="1"/>
  <c r="CN15" i="1"/>
  <c r="CN222" i="1"/>
  <c r="CN362" i="1"/>
  <c r="CN400" i="1"/>
  <c r="CN250" i="1"/>
  <c r="CN129" i="1"/>
  <c r="CN93" i="1"/>
  <c r="CN326" i="1"/>
  <c r="CN38" i="1"/>
  <c r="CN514" i="1"/>
  <c r="CN502" i="1"/>
  <c r="CN373" i="1"/>
  <c r="CN139" i="1"/>
  <c r="CN535" i="1"/>
  <c r="CN406" i="1"/>
  <c r="CN386" i="1"/>
  <c r="CN234" i="1"/>
  <c r="CN14" i="1"/>
  <c r="CN278" i="1"/>
  <c r="CN533" i="1"/>
  <c r="CN83" i="1"/>
  <c r="CN366" i="1"/>
  <c r="CN511" i="1"/>
  <c r="CN197" i="1"/>
  <c r="CN418" i="1"/>
  <c r="CN509" i="1"/>
  <c r="CN423" i="1"/>
  <c r="CN518" i="1"/>
  <c r="CN33" i="1"/>
  <c r="CN515" i="1"/>
  <c r="CN147" i="1"/>
  <c r="CN459" i="1"/>
  <c r="CN517" i="1"/>
  <c r="CN536" i="1"/>
  <c r="CN54" i="1"/>
  <c r="CN537" i="1"/>
  <c r="CN409" i="1"/>
  <c r="CN135" i="1"/>
  <c r="CN395" i="1"/>
  <c r="CN525" i="1"/>
  <c r="CN120" i="1"/>
  <c r="CN339" i="1"/>
  <c r="CN205" i="1"/>
  <c r="CN6" i="1"/>
  <c r="CN5" i="1"/>
  <c r="CN453" i="1"/>
  <c r="CN516" i="1"/>
  <c r="CN284" i="1"/>
  <c r="CN321" i="1"/>
  <c r="CN526" i="1"/>
  <c r="CN528" i="1"/>
  <c r="CN370" i="1"/>
  <c r="CN520" i="1"/>
  <c r="CN452" i="1"/>
  <c r="CN522" i="1"/>
  <c r="CN333" i="1"/>
  <c r="CN91" i="1"/>
  <c r="CN8" i="1"/>
  <c r="CN35" i="1"/>
  <c r="CN119" i="1"/>
  <c r="CN451" i="1"/>
  <c r="CN364" i="1"/>
  <c r="CN165" i="1"/>
  <c r="CN293" i="1"/>
  <c r="CN42" i="1"/>
  <c r="CN327" i="1"/>
  <c r="CN44" i="1"/>
  <c r="CN269" i="1"/>
  <c r="CN367" i="1"/>
  <c r="CN29" i="1"/>
  <c r="CN115" i="1"/>
  <c r="CN110" i="1"/>
  <c r="CN416" i="1"/>
  <c r="CN287" i="1"/>
  <c r="CN394" i="1"/>
  <c r="CN385" i="1"/>
  <c r="CN77" i="1"/>
  <c r="CN413" i="1"/>
  <c r="CN76" i="1"/>
  <c r="CN279" i="1"/>
  <c r="CN261" i="1"/>
  <c r="CN381" i="1"/>
  <c r="CN330" i="1"/>
  <c r="CN301" i="1"/>
  <c r="CN133" i="1"/>
  <c r="CN376" i="1"/>
  <c r="CN436" i="1"/>
  <c r="CN268" i="1"/>
  <c r="CN267" i="1"/>
  <c r="CN428" i="1"/>
  <c r="CN312" i="1"/>
  <c r="CN424" i="1"/>
  <c r="CN433" i="1"/>
  <c r="CN266" i="1"/>
  <c r="CN427" i="1"/>
  <c r="CN208" i="1"/>
  <c r="CN369" i="1"/>
  <c r="CN377" i="1"/>
  <c r="CN203" i="1"/>
  <c r="CN359" i="1"/>
  <c r="CN170" i="1"/>
  <c r="CN404" i="1"/>
  <c r="CN388" i="1"/>
  <c r="CN169" i="1"/>
  <c r="CN378" i="1"/>
  <c r="CN340" i="1"/>
  <c r="CN458" i="1"/>
  <c r="CN41" i="1"/>
  <c r="CN49" i="1"/>
  <c r="CN28" i="1"/>
  <c r="CN242" i="1"/>
  <c r="CN303" i="1"/>
  <c r="CN407" i="1"/>
  <c r="CN153" i="1"/>
  <c r="CN411" i="1"/>
  <c r="CN419" i="1"/>
  <c r="CN273" i="1"/>
  <c r="CN34" i="1"/>
  <c r="CN209" i="1"/>
  <c r="CN241" i="1"/>
  <c r="CN291" i="1"/>
  <c r="CN260" i="1"/>
  <c r="CN146" i="1"/>
  <c r="CN180" i="1"/>
  <c r="CN239" i="1"/>
  <c r="CN358" i="1"/>
  <c r="CN420" i="1"/>
  <c r="CN325" i="1"/>
  <c r="CN270" i="1"/>
  <c r="CN160" i="1"/>
  <c r="CN429" i="1"/>
  <c r="CN457" i="1"/>
  <c r="CN121" i="1"/>
  <c r="CN94" i="1"/>
  <c r="CN82" i="1"/>
  <c r="CN171" i="1"/>
  <c r="CN441" i="1"/>
  <c r="CN57" i="1"/>
  <c r="CN443" i="1"/>
  <c r="CN347" i="1"/>
  <c r="CN360" i="1"/>
  <c r="CN235" i="1"/>
  <c r="CN64" i="1"/>
  <c r="CN238" i="1"/>
  <c r="CN79" i="1"/>
  <c r="CN26" i="1"/>
  <c r="CN32" i="1"/>
  <c r="CN27" i="1"/>
  <c r="CN17" i="1"/>
  <c r="CN398" i="1"/>
  <c r="CN52" i="1"/>
  <c r="CN450" i="1"/>
  <c r="CN249" i="1"/>
  <c r="CN412" i="1"/>
  <c r="CN220" i="1"/>
  <c r="CN350" i="1"/>
  <c r="CN224" i="1"/>
  <c r="CN444" i="1"/>
  <c r="CN355" i="1"/>
  <c r="CN182" i="1"/>
  <c r="CN124" i="1"/>
  <c r="CN53" i="1"/>
  <c r="CN383" i="1"/>
  <c r="CN430" i="1"/>
  <c r="CN56" i="1"/>
  <c r="CN282" i="1"/>
  <c r="CN23" i="1"/>
  <c r="CN173" i="1"/>
  <c r="CN80" i="1"/>
  <c r="CN306" i="1"/>
  <c r="CN10" i="1"/>
  <c r="CN37" i="1"/>
  <c r="CN130" i="1"/>
  <c r="CN375" i="1"/>
  <c r="CN403" i="1"/>
  <c r="CN421" i="1"/>
  <c r="CN461" i="1"/>
  <c r="CN314" i="1"/>
  <c r="CN289" i="1"/>
  <c r="CN162" i="1"/>
  <c r="CN415" i="1"/>
  <c r="CN290" i="1"/>
  <c r="CN426" i="1"/>
  <c r="CN201" i="1"/>
  <c r="CN365" i="1"/>
  <c r="CN346" i="1"/>
  <c r="CN311" i="1"/>
  <c r="CN97" i="1"/>
  <c r="CN283" i="1"/>
  <c r="CN354" i="1"/>
  <c r="CN48" i="1"/>
  <c r="CN71" i="1"/>
  <c r="CN397" i="1"/>
  <c r="CN157" i="1"/>
  <c r="CN294" i="1"/>
  <c r="CN62" i="1"/>
  <c r="CN264" i="1"/>
  <c r="CN410" i="1"/>
  <c r="CN74" i="1"/>
  <c r="CN227" i="1"/>
  <c r="CN7" i="1"/>
  <c r="CN89" i="1"/>
  <c r="CN87" i="1"/>
  <c r="CN384" i="1"/>
  <c r="CN336" i="1"/>
  <c r="CN396" i="1"/>
  <c r="CN456" i="1"/>
  <c r="CN95" i="1"/>
  <c r="CN127" i="1"/>
  <c r="CN149" i="1"/>
  <c r="CN341" i="1"/>
  <c r="CN18" i="1"/>
  <c r="CN186" i="1"/>
  <c r="CN90" i="1"/>
  <c r="CN39" i="1"/>
  <c r="CN215" i="1"/>
  <c r="CN101" i="1"/>
  <c r="CN422" i="1"/>
  <c r="CN13" i="1"/>
  <c r="CN231" i="1"/>
  <c r="CN145" i="1"/>
  <c r="CN288" i="1"/>
  <c r="CN263" i="1"/>
  <c r="CN302" i="1"/>
  <c r="CN435" i="1"/>
  <c r="CN109" i="1"/>
  <c r="CN295" i="1"/>
  <c r="CN68" i="1"/>
  <c r="CN229" i="1"/>
  <c r="CN225" i="1"/>
  <c r="CN213" i="1"/>
  <c r="CN219" i="1"/>
  <c r="CN154" i="1"/>
  <c r="CN402" i="1"/>
  <c r="CN161" i="1"/>
  <c r="CN141" i="1"/>
  <c r="CN437" i="1"/>
  <c r="CN11" i="1"/>
  <c r="CN212" i="1"/>
  <c r="CN379" i="1"/>
  <c r="CN176" i="1"/>
  <c r="CN255" i="1"/>
  <c r="CN305" i="1"/>
  <c r="CN258" i="1"/>
  <c r="CN307" i="1"/>
  <c r="CN417" i="1"/>
  <c r="CN116" i="1"/>
  <c r="CN319" i="1"/>
  <c r="CN65" i="1"/>
  <c r="CN275" i="1"/>
  <c r="CN372" i="1"/>
  <c r="CN196" i="1"/>
  <c r="CN382" i="1"/>
  <c r="CN188" i="1"/>
  <c r="CN60" i="1"/>
  <c r="CN210" i="1"/>
  <c r="CN334" i="1"/>
  <c r="CN348" i="1"/>
  <c r="CN344" i="1"/>
  <c r="CN236" i="1"/>
  <c r="CN240" i="1"/>
  <c r="CN389" i="1"/>
  <c r="CN256" i="1"/>
  <c r="CN318" i="1"/>
  <c r="CN262" i="1"/>
  <c r="CN184" i="1"/>
  <c r="CN391" i="1"/>
  <c r="CN131" i="1"/>
  <c r="CN86" i="1"/>
  <c r="CN137" i="1"/>
  <c r="CN138" i="1"/>
  <c r="CN216" i="1"/>
  <c r="CN316" i="1"/>
  <c r="CN122" i="1"/>
  <c r="CN434" i="1"/>
  <c r="CN298" i="1"/>
  <c r="CN245" i="1"/>
  <c r="CN191" i="1"/>
  <c r="CN315" i="1"/>
  <c r="CN167" i="1"/>
  <c r="CN202" i="1"/>
  <c r="CN393" i="1"/>
  <c r="CN198" i="1"/>
  <c r="CN271" i="1"/>
  <c r="CN304" i="1"/>
  <c r="CN265" i="1"/>
  <c r="CN257" i="1"/>
  <c r="CN150" i="1"/>
  <c r="CN338" i="1"/>
  <c r="CN440" i="1"/>
  <c r="CN226" i="1"/>
  <c r="CN233" i="1"/>
  <c r="CN118" i="1"/>
  <c r="CN248" i="1"/>
  <c r="CN102" i="1"/>
  <c r="CN20" i="1"/>
  <c r="CN136" i="1"/>
  <c r="CN96" i="1"/>
  <c r="CN21" i="1"/>
  <c r="CN299" i="1"/>
  <c r="CN414" i="1"/>
  <c r="CN324" i="1"/>
  <c r="CN61" i="1"/>
  <c r="CN204" i="1"/>
  <c r="CN254" i="1"/>
  <c r="CN98" i="1"/>
  <c r="CN148" i="1"/>
  <c r="CN230" i="1"/>
  <c r="CN252" i="1"/>
  <c r="CN297" i="1"/>
  <c r="CN16" i="1"/>
  <c r="CN73" i="1"/>
  <c r="CN228" i="1"/>
  <c r="CN155" i="1"/>
  <c r="CN174" i="1"/>
  <c r="CN310" i="1"/>
  <c r="CN449" i="1"/>
  <c r="CN92" i="1"/>
  <c r="CN285" i="1"/>
  <c r="CN332" i="1"/>
  <c r="CN356" i="1"/>
  <c r="CN183" i="1"/>
  <c r="CN223" i="1"/>
  <c r="CN45" i="1"/>
  <c r="CN181" i="1"/>
  <c r="CN172" i="1"/>
  <c r="CN337" i="1"/>
  <c r="CN78" i="1"/>
  <c r="CN313" i="1"/>
  <c r="CN363" i="1"/>
  <c r="CN277" i="1"/>
  <c r="CN178" i="1"/>
  <c r="CN442" i="1"/>
  <c r="CN237" i="1"/>
  <c r="CN177" i="1"/>
  <c r="CN438" i="1"/>
  <c r="CN117" i="1"/>
  <c r="CN211" i="1"/>
  <c r="CN276" i="1"/>
  <c r="CN329" i="1"/>
  <c r="CN448" i="1"/>
  <c r="CN447" i="1"/>
  <c r="CN67" i="1"/>
  <c r="CN104" i="1"/>
  <c r="CN66" i="1"/>
  <c r="CN439" i="1"/>
  <c r="CN460" i="1"/>
  <c r="CN308" i="1"/>
  <c r="CN166" i="1"/>
  <c r="CN374" i="1"/>
  <c r="CN425" i="1"/>
  <c r="CN187" i="1"/>
  <c r="CN243" i="1"/>
  <c r="CN353" i="1"/>
  <c r="CN368" i="1"/>
  <c r="CN152" i="1"/>
  <c r="CN296" i="1"/>
  <c r="CN189" i="1"/>
  <c r="CN300" i="1"/>
  <c r="CN246" i="1"/>
  <c r="CN31" i="1"/>
  <c r="CN331" i="1"/>
  <c r="CN322" i="1"/>
  <c r="CN84" i="1"/>
  <c r="CN335" i="1"/>
  <c r="CN107" i="1"/>
  <c r="CN199" i="1"/>
  <c r="CN218" i="1"/>
  <c r="CN371" i="1"/>
  <c r="CN251" i="1"/>
  <c r="CN192" i="1"/>
  <c r="CN194" i="1"/>
  <c r="CN75" i="1"/>
  <c r="CN125" i="1"/>
  <c r="CN343" i="1"/>
  <c r="CN323" i="1"/>
  <c r="CN462" i="1"/>
  <c r="CN112" i="1"/>
  <c r="CN143" i="1"/>
  <c r="CN200" i="1"/>
  <c r="CN123" i="1"/>
  <c r="CN292" i="1"/>
  <c r="CN342" i="1"/>
  <c r="CN105" i="1"/>
  <c r="CN253" i="1"/>
  <c r="CN163" i="1"/>
  <c r="CN195" i="1"/>
  <c r="CN401" i="1"/>
  <c r="CN328" i="1"/>
  <c r="CN455" i="1"/>
  <c r="CN232" i="1"/>
  <c r="CN72" i="1"/>
  <c r="CN286" i="1"/>
  <c r="CN12" i="1"/>
  <c r="CN51" i="1"/>
  <c r="CN50" i="1"/>
  <c r="CN399" i="1"/>
  <c r="CN151" i="1"/>
  <c r="CN345" i="1"/>
  <c r="CN70" i="1"/>
  <c r="CN30" i="1"/>
  <c r="CN207" i="1"/>
  <c r="CN193" i="1"/>
  <c r="CN100" i="1"/>
  <c r="CN99" i="1"/>
  <c r="CN317" i="1"/>
  <c r="CN309" i="1"/>
  <c r="CN47" i="1"/>
  <c r="CN88" i="1"/>
  <c r="CN214" i="1"/>
  <c r="CN244" i="1"/>
  <c r="CN108" i="1"/>
  <c r="CN156" i="1"/>
  <c r="CN259" i="1"/>
  <c r="CN55" i="1"/>
  <c r="CN25" i="1"/>
  <c r="CN22" i="1"/>
  <c r="CN85" i="1"/>
  <c r="CN445" i="1"/>
  <c r="CN24" i="1"/>
  <c r="CN126" i="1"/>
  <c r="CN446" i="1"/>
  <c r="CN140" i="1"/>
  <c r="CN58" i="1"/>
  <c r="CN59" i="1"/>
  <c r="CN274" i="1"/>
  <c r="CN113" i="1"/>
  <c r="CN206" i="1"/>
  <c r="CN175" i="1"/>
  <c r="CN349" i="1"/>
  <c r="CN69" i="1"/>
  <c r="CN431" i="1"/>
  <c r="CN190" i="1"/>
  <c r="CN432" i="1"/>
  <c r="CN351" i="1"/>
  <c r="CN164" i="1"/>
  <c r="CN387" i="1"/>
  <c r="CN106" i="1"/>
  <c r="CN103" i="1"/>
  <c r="CN281" i="1"/>
  <c r="CN144" i="1"/>
  <c r="CN114" i="1"/>
  <c r="CN111" i="1"/>
  <c r="CN4" i="1"/>
  <c r="CN81" i="1"/>
  <c r="CN179" i="1"/>
  <c r="CN158" i="1"/>
  <c r="CN217" i="1"/>
  <c r="CN128" i="1"/>
  <c r="CN361" i="1"/>
  <c r="CN3" i="1"/>
  <c r="CN392" i="1"/>
  <c r="CN159" i="1"/>
  <c r="CN63" i="1"/>
  <c r="CN43" i="1"/>
  <c r="CN19" i="1"/>
  <c r="CN280" i="1"/>
  <c r="CN132" i="1"/>
  <c r="CN168" i="1"/>
  <c r="CM454" i="1"/>
  <c r="CM459" i="1"/>
  <c r="CM453" i="1"/>
  <c r="CM452" i="1"/>
  <c r="H9" i="3"/>
  <c r="CP468" i="1"/>
  <c r="CQ468" i="1" s="1"/>
  <c r="CV468" i="1" s="1"/>
  <c r="CP496" i="1"/>
  <c r="CQ496" i="1" s="1"/>
  <c r="CV496" i="1" s="1"/>
  <c r="CP497" i="1"/>
  <c r="CQ497" i="1" s="1"/>
  <c r="CV497" i="1" s="1"/>
  <c r="CP467" i="1"/>
  <c r="CQ467" i="1" s="1"/>
  <c r="CV467" i="1" s="1"/>
  <c r="CP466" i="1"/>
  <c r="CQ466" i="1" s="1"/>
  <c r="CV466" i="1" s="1"/>
  <c r="CP475" i="1"/>
  <c r="CQ475" i="1" s="1"/>
  <c r="CV475" i="1" s="1"/>
  <c r="CP474" i="1"/>
  <c r="CQ474" i="1" s="1"/>
  <c r="CV474" i="1" s="1"/>
  <c r="CP479" i="1"/>
  <c r="CQ479" i="1" s="1"/>
  <c r="CV479" i="1" s="1"/>
  <c r="CP500" i="1"/>
  <c r="CQ500" i="1" s="1"/>
  <c r="CV500" i="1" s="1"/>
  <c r="CP473" i="1"/>
  <c r="CQ473" i="1" s="1"/>
  <c r="CV473" i="1" s="1"/>
  <c r="CP484" i="1"/>
  <c r="CQ484" i="1" s="1"/>
  <c r="CV484" i="1" s="1"/>
  <c r="CP507" i="1"/>
  <c r="CQ507" i="1" s="1"/>
  <c r="CV507" i="1" s="1"/>
  <c r="CP506" i="1"/>
  <c r="CQ506" i="1" s="1"/>
  <c r="CV506" i="1" s="1"/>
  <c r="CP493" i="1"/>
  <c r="CQ493" i="1" s="1"/>
  <c r="CV493" i="1" s="1"/>
  <c r="CP531" i="1"/>
  <c r="CQ531" i="1" s="1"/>
  <c r="CV531" i="1" s="1"/>
  <c r="CP488" i="1"/>
  <c r="CQ488" i="1" s="1"/>
  <c r="CV488" i="1" s="1"/>
  <c r="CP508" i="1"/>
  <c r="CQ508" i="1" s="1"/>
  <c r="CV508" i="1" s="1"/>
  <c r="CP487" i="1"/>
  <c r="CQ487" i="1" s="1"/>
  <c r="CV487" i="1" s="1"/>
  <c r="CP485" i="1"/>
  <c r="CQ485" i="1" s="1"/>
  <c r="CV485" i="1" s="1"/>
  <c r="CP494" i="1"/>
  <c r="CQ494" i="1" s="1"/>
  <c r="CV494" i="1" s="1"/>
  <c r="CP478" i="1"/>
  <c r="CQ478" i="1" s="1"/>
  <c r="CV478" i="1" s="1"/>
  <c r="CP534" i="1"/>
  <c r="CQ534" i="1" s="1"/>
  <c r="CV534" i="1" s="1"/>
  <c r="CP477" i="1"/>
  <c r="CQ477" i="1" s="1"/>
  <c r="CV477" i="1" s="1"/>
  <c r="CP481" i="1"/>
  <c r="CQ481" i="1" s="1"/>
  <c r="CV481" i="1" s="1"/>
  <c r="CP465" i="1"/>
  <c r="CQ465" i="1" s="1"/>
  <c r="CV465" i="1" s="1"/>
  <c r="CP513" i="1"/>
  <c r="CQ513" i="1" s="1"/>
  <c r="CV513" i="1" s="1"/>
  <c r="CP464" i="1"/>
  <c r="CQ464" i="1" s="1"/>
  <c r="CV464" i="1" s="1"/>
  <c r="CP499" i="1"/>
  <c r="CQ499" i="1" s="1"/>
  <c r="CV499" i="1" s="1"/>
  <c r="CP470" i="1"/>
  <c r="CQ470" i="1" s="1"/>
  <c r="CV470" i="1" s="1"/>
  <c r="CP527" i="1"/>
  <c r="CQ527" i="1" s="1"/>
  <c r="CV527" i="1" s="1"/>
  <c r="CP490" i="1"/>
  <c r="CQ490" i="1" s="1"/>
  <c r="CV490" i="1" s="1"/>
  <c r="CP510" i="1"/>
  <c r="CQ510" i="1" s="1"/>
  <c r="CV510" i="1" s="1"/>
  <c r="CP498" i="1"/>
  <c r="CQ498" i="1" s="1"/>
  <c r="CV498" i="1" s="1"/>
  <c r="CP501" i="1"/>
  <c r="CQ501" i="1" s="1"/>
  <c r="CV501" i="1" s="1"/>
  <c r="CP471" i="1"/>
  <c r="CQ471" i="1" s="1"/>
  <c r="CV471" i="1" s="1"/>
  <c r="CP529" i="1"/>
  <c r="CQ529" i="1" s="1"/>
  <c r="CV529" i="1" s="1"/>
  <c r="CP486" i="1"/>
  <c r="CQ486" i="1" s="1"/>
  <c r="CV486" i="1" s="1"/>
  <c r="CP476" i="1"/>
  <c r="CQ476" i="1" s="1"/>
  <c r="CV476" i="1" s="1"/>
  <c r="CP482" i="1"/>
  <c r="CQ482" i="1" s="1"/>
  <c r="CV482" i="1" s="1"/>
  <c r="CP480" i="1"/>
  <c r="CQ480" i="1" s="1"/>
  <c r="CV480" i="1" s="1"/>
  <c r="CP504" i="1"/>
  <c r="CQ504" i="1" s="1"/>
  <c r="CV504" i="1" s="1"/>
  <c r="CP469" i="1"/>
  <c r="CQ469" i="1" s="1"/>
  <c r="CV469" i="1" s="1"/>
  <c r="CP463" i="1"/>
  <c r="CQ463" i="1" s="1"/>
  <c r="CV463" i="1" s="1"/>
  <c r="CP495" i="1"/>
  <c r="CQ495" i="1" s="1"/>
  <c r="CV495" i="1" s="1"/>
  <c r="CP492" i="1"/>
  <c r="CQ492" i="1" s="1"/>
  <c r="CV492" i="1" s="1"/>
  <c r="CP491" i="1"/>
  <c r="CQ491" i="1" s="1"/>
  <c r="CV491" i="1" s="1"/>
  <c r="CP505" i="1"/>
  <c r="CQ505" i="1" s="1"/>
  <c r="CV505" i="1" s="1"/>
  <c r="CP472" i="1"/>
  <c r="CQ472" i="1" s="1"/>
  <c r="CV472" i="1" s="1"/>
  <c r="CP503" i="1"/>
  <c r="CQ503" i="1" s="1"/>
  <c r="CV503" i="1" s="1"/>
  <c r="CP483" i="1"/>
  <c r="CQ483" i="1" s="1"/>
  <c r="CV483" i="1" s="1"/>
  <c r="CP489" i="1"/>
  <c r="CQ489" i="1" s="1"/>
  <c r="CV489" i="1" s="1"/>
  <c r="CP142" i="1"/>
  <c r="CP512" i="1"/>
  <c r="CQ512" i="1" s="1"/>
  <c r="CV512" i="1" s="1"/>
  <c r="CP36" i="1"/>
  <c r="CP40" i="1"/>
  <c r="CP521" i="1"/>
  <c r="CQ521" i="1" s="1"/>
  <c r="CV521" i="1" s="1"/>
  <c r="CP185" i="1"/>
  <c r="CP519" i="1"/>
  <c r="CQ519" i="1" s="1"/>
  <c r="CV519" i="1" s="1"/>
  <c r="CP357" i="1"/>
  <c r="CQ357" i="1" s="1"/>
  <c r="CP524" i="1"/>
  <c r="CQ524" i="1" s="1"/>
  <c r="CV524" i="1" s="1"/>
  <c r="CP46" i="1"/>
  <c r="CP408" i="1"/>
  <c r="CP247" i="1"/>
  <c r="CP320" i="1"/>
  <c r="CP530" i="1"/>
  <c r="CQ530" i="1" s="1"/>
  <c r="CV530" i="1" s="1"/>
  <c r="CP134" i="1"/>
  <c r="CP532" i="1"/>
  <c r="CQ532" i="1" s="1"/>
  <c r="CV532" i="1" s="1"/>
  <c r="CP523" i="1"/>
  <c r="CQ523" i="1" s="1"/>
  <c r="CV523" i="1" s="1"/>
  <c r="CP221" i="1"/>
  <c r="CP9" i="1"/>
  <c r="CP15" i="1"/>
  <c r="CP222" i="1"/>
  <c r="CP362" i="1"/>
  <c r="CP400" i="1"/>
  <c r="CP250" i="1"/>
  <c r="CP129" i="1"/>
  <c r="CP93" i="1"/>
  <c r="CP326" i="1"/>
  <c r="CP38" i="1"/>
  <c r="CP272" i="1"/>
  <c r="CQ272" i="1" s="1"/>
  <c r="CP514" i="1"/>
  <c r="CQ514" i="1" s="1"/>
  <c r="CV514" i="1" s="1"/>
  <c r="CP502" i="1"/>
  <c r="CQ502" i="1" s="1"/>
  <c r="CV502" i="1" s="1"/>
  <c r="CP373" i="1"/>
  <c r="CP454" i="1"/>
  <c r="CP139" i="1"/>
  <c r="CP535" i="1"/>
  <c r="CQ535" i="1" s="1"/>
  <c r="CV535" i="1" s="1"/>
  <c r="CP406" i="1"/>
  <c r="CP386" i="1"/>
  <c r="CP234" i="1"/>
  <c r="CP14" i="1"/>
  <c r="CP380" i="1"/>
  <c r="CQ380" i="1" s="1"/>
  <c r="CP278" i="1"/>
  <c r="CP533" i="1"/>
  <c r="CQ533" i="1" s="1"/>
  <c r="CV533" i="1" s="1"/>
  <c r="CP83" i="1"/>
  <c r="CP366" i="1"/>
  <c r="CP511" i="1"/>
  <c r="CQ511" i="1" s="1"/>
  <c r="CV511" i="1" s="1"/>
  <c r="CP197" i="1"/>
  <c r="CP418" i="1"/>
  <c r="CP509" i="1"/>
  <c r="CQ509" i="1" s="1"/>
  <c r="CV509" i="1" s="1"/>
  <c r="CP423" i="1"/>
  <c r="CP518" i="1"/>
  <c r="CQ518" i="1" s="1"/>
  <c r="CV518" i="1" s="1"/>
  <c r="CP33" i="1"/>
  <c r="CP515" i="1"/>
  <c r="CQ515" i="1" s="1"/>
  <c r="CV515" i="1" s="1"/>
  <c r="CP147" i="1"/>
  <c r="CP459" i="1"/>
  <c r="CP517" i="1"/>
  <c r="CQ517" i="1" s="1"/>
  <c r="CV517" i="1" s="1"/>
  <c r="CP536" i="1"/>
  <c r="CQ536" i="1" s="1"/>
  <c r="CV536" i="1" s="1"/>
  <c r="CP54" i="1"/>
  <c r="CP537" i="1"/>
  <c r="CQ537" i="1" s="1"/>
  <c r="CV537" i="1" s="1"/>
  <c r="CP409" i="1"/>
  <c r="CP135" i="1"/>
  <c r="CP395" i="1"/>
  <c r="CP525" i="1"/>
  <c r="CQ525" i="1" s="1"/>
  <c r="CV525" i="1" s="1"/>
  <c r="CP120" i="1"/>
  <c r="CP339" i="1"/>
  <c r="CP205" i="1"/>
  <c r="CP6" i="1"/>
  <c r="CP5" i="1"/>
  <c r="CP453" i="1"/>
  <c r="CP352" i="1"/>
  <c r="CQ352" i="1" s="1"/>
  <c r="CP516" i="1"/>
  <c r="CQ516" i="1" s="1"/>
  <c r="CV516" i="1" s="1"/>
  <c r="CP284" i="1"/>
  <c r="CP321" i="1"/>
  <c r="CP526" i="1"/>
  <c r="CQ526" i="1" s="1"/>
  <c r="CV526" i="1" s="1"/>
  <c r="CP528" i="1"/>
  <c r="CQ528" i="1" s="1"/>
  <c r="CV528" i="1" s="1"/>
  <c r="CP405" i="1"/>
  <c r="CQ405" i="1" s="1"/>
  <c r="CP370" i="1"/>
  <c r="CP520" i="1"/>
  <c r="CQ520" i="1" s="1"/>
  <c r="CV520" i="1" s="1"/>
  <c r="CP452" i="1"/>
  <c r="CP390" i="1"/>
  <c r="CQ390" i="1" s="1"/>
  <c r="CP522" i="1"/>
  <c r="CQ522" i="1" s="1"/>
  <c r="CV522" i="1" s="1"/>
  <c r="CP333" i="1"/>
  <c r="CP91" i="1"/>
  <c r="CP8" i="1"/>
  <c r="CP35" i="1"/>
  <c r="CP119" i="1"/>
  <c r="CP451" i="1"/>
  <c r="CP364" i="1"/>
  <c r="CP165" i="1"/>
  <c r="CP293" i="1"/>
  <c r="CP42" i="1"/>
  <c r="CP327" i="1"/>
  <c r="CP44" i="1"/>
  <c r="CP269" i="1"/>
  <c r="CP367" i="1"/>
  <c r="CP29" i="1"/>
  <c r="CP115" i="1"/>
  <c r="CP110" i="1"/>
  <c r="CP416" i="1"/>
  <c r="CP287" i="1"/>
  <c r="CP394" i="1"/>
  <c r="CP385" i="1"/>
  <c r="CP77" i="1"/>
  <c r="CP413" i="1"/>
  <c r="CP76" i="1"/>
  <c r="CP279" i="1"/>
  <c r="CP261" i="1"/>
  <c r="CP381" i="1"/>
  <c r="CP330" i="1"/>
  <c r="CP301" i="1"/>
  <c r="CP133" i="1"/>
  <c r="CP376" i="1"/>
  <c r="CP436" i="1"/>
  <c r="CP268" i="1"/>
  <c r="CP267" i="1"/>
  <c r="CP428" i="1"/>
  <c r="CP312" i="1"/>
  <c r="CP424" i="1"/>
  <c r="CP433" i="1"/>
  <c r="CP266" i="1"/>
  <c r="CP427" i="1"/>
  <c r="CP208" i="1"/>
  <c r="CP369" i="1"/>
  <c r="CP377" i="1"/>
  <c r="CP203" i="1"/>
  <c r="CP359" i="1"/>
  <c r="CP170" i="1"/>
  <c r="CP404" i="1"/>
  <c r="CP388" i="1"/>
  <c r="CP169" i="1"/>
  <c r="CP378" i="1"/>
  <c r="CP340" i="1"/>
  <c r="CP458" i="1"/>
  <c r="CP41" i="1"/>
  <c r="CP49" i="1"/>
  <c r="CP28" i="1"/>
  <c r="CP242" i="1"/>
  <c r="CP303" i="1"/>
  <c r="CP407" i="1"/>
  <c r="CP153" i="1"/>
  <c r="CP411" i="1"/>
  <c r="CP419" i="1"/>
  <c r="CP273" i="1"/>
  <c r="CP34" i="1"/>
  <c r="CP209" i="1"/>
  <c r="CP241" i="1"/>
  <c r="CP291" i="1"/>
  <c r="CP260" i="1"/>
  <c r="CP146" i="1"/>
  <c r="CP180" i="1"/>
  <c r="CP239" i="1"/>
  <c r="CP358" i="1"/>
  <c r="CP420" i="1"/>
  <c r="CP325" i="1"/>
  <c r="CP270" i="1"/>
  <c r="CP160" i="1"/>
  <c r="CP429" i="1"/>
  <c r="CP457" i="1"/>
  <c r="CP121" i="1"/>
  <c r="CP94" i="1"/>
  <c r="CP82" i="1"/>
  <c r="CP171" i="1"/>
  <c r="CP441" i="1"/>
  <c r="CP57" i="1"/>
  <c r="CP443" i="1"/>
  <c r="CP347" i="1"/>
  <c r="CP360" i="1"/>
  <c r="CP235" i="1"/>
  <c r="CP64" i="1"/>
  <c r="CP238" i="1"/>
  <c r="CP79" i="1"/>
  <c r="CP26" i="1"/>
  <c r="CP32" i="1"/>
  <c r="CP27" i="1"/>
  <c r="CP17" i="1"/>
  <c r="CP398" i="1"/>
  <c r="CP52" i="1"/>
  <c r="CP450" i="1"/>
  <c r="CP249" i="1"/>
  <c r="CP412" i="1"/>
  <c r="CP220" i="1"/>
  <c r="CP350" i="1"/>
  <c r="CP224" i="1"/>
  <c r="CP444" i="1"/>
  <c r="CP355" i="1"/>
  <c r="CP182" i="1"/>
  <c r="CP124" i="1"/>
  <c r="CP53" i="1"/>
  <c r="CP383" i="1"/>
  <c r="CP430" i="1"/>
  <c r="CP56" i="1"/>
  <c r="CP282" i="1"/>
  <c r="CP23" i="1"/>
  <c r="CP173" i="1"/>
  <c r="CP80" i="1"/>
  <c r="CP306" i="1"/>
  <c r="CP10" i="1"/>
  <c r="CP37" i="1"/>
  <c r="CP130" i="1"/>
  <c r="CP375" i="1"/>
  <c r="CP403" i="1"/>
  <c r="CP421" i="1"/>
  <c r="CP461" i="1"/>
  <c r="CP314" i="1"/>
  <c r="CP289" i="1"/>
  <c r="CP162" i="1"/>
  <c r="CP415" i="1"/>
  <c r="CP290" i="1"/>
  <c r="CP426" i="1"/>
  <c r="CP201" i="1"/>
  <c r="CP365" i="1"/>
  <c r="CP346" i="1"/>
  <c r="CP311" i="1"/>
  <c r="CP97" i="1"/>
  <c r="CP283" i="1"/>
  <c r="CP354" i="1"/>
  <c r="CP48" i="1"/>
  <c r="CP71" i="1"/>
  <c r="CP397" i="1"/>
  <c r="CP157" i="1"/>
  <c r="CP294" i="1"/>
  <c r="CP62" i="1"/>
  <c r="CP264" i="1"/>
  <c r="CP410" i="1"/>
  <c r="CP74" i="1"/>
  <c r="CP227" i="1"/>
  <c r="CP7" i="1"/>
  <c r="CP89" i="1"/>
  <c r="CP87" i="1"/>
  <c r="CP384" i="1"/>
  <c r="CP336" i="1"/>
  <c r="CP396" i="1"/>
  <c r="CP456" i="1"/>
  <c r="CP95" i="1"/>
  <c r="CP127" i="1"/>
  <c r="CP149" i="1"/>
  <c r="CP341" i="1"/>
  <c r="CP18" i="1"/>
  <c r="CP186" i="1"/>
  <c r="CP90" i="1"/>
  <c r="CP39" i="1"/>
  <c r="CP215" i="1"/>
  <c r="CP101" i="1"/>
  <c r="CP422" i="1"/>
  <c r="CP13" i="1"/>
  <c r="CP231" i="1"/>
  <c r="CP145" i="1"/>
  <c r="CP288" i="1"/>
  <c r="CP263" i="1"/>
  <c r="CP302" i="1"/>
  <c r="CP435" i="1"/>
  <c r="CP109" i="1"/>
  <c r="CP295" i="1"/>
  <c r="CP68" i="1"/>
  <c r="CP229" i="1"/>
  <c r="CP225" i="1"/>
  <c r="CP213" i="1"/>
  <c r="CP219" i="1"/>
  <c r="CP154" i="1"/>
  <c r="CP402" i="1"/>
  <c r="CP161" i="1"/>
  <c r="CP141" i="1"/>
  <c r="CP437" i="1"/>
  <c r="CP11" i="1"/>
  <c r="CP212" i="1"/>
  <c r="CP379" i="1"/>
  <c r="CP176" i="1"/>
  <c r="CP255" i="1"/>
  <c r="CP305" i="1"/>
  <c r="CP258" i="1"/>
  <c r="CP307" i="1"/>
  <c r="CP417" i="1"/>
  <c r="CP116" i="1"/>
  <c r="CP319" i="1"/>
  <c r="CP65" i="1"/>
  <c r="CP275" i="1"/>
  <c r="CP372" i="1"/>
  <c r="CP196" i="1"/>
  <c r="CP382" i="1"/>
  <c r="CP188" i="1"/>
  <c r="CP60" i="1"/>
  <c r="CP210" i="1"/>
  <c r="CP334" i="1"/>
  <c r="CP348" i="1"/>
  <c r="CP344" i="1"/>
  <c r="CP236" i="1"/>
  <c r="CP240" i="1"/>
  <c r="CP389" i="1"/>
  <c r="CP256" i="1"/>
  <c r="CP318" i="1"/>
  <c r="CP262" i="1"/>
  <c r="CP184" i="1"/>
  <c r="CP391" i="1"/>
  <c r="CP131" i="1"/>
  <c r="CP86" i="1"/>
  <c r="CP137" i="1"/>
  <c r="CP138" i="1"/>
  <c r="CP216" i="1"/>
  <c r="CP316" i="1"/>
  <c r="CP122" i="1"/>
  <c r="CP434" i="1"/>
  <c r="CP298" i="1"/>
  <c r="CP245" i="1"/>
  <c r="CP191" i="1"/>
  <c r="CP315" i="1"/>
  <c r="CP167" i="1"/>
  <c r="CP202" i="1"/>
  <c r="CP393" i="1"/>
  <c r="CP198" i="1"/>
  <c r="CP271" i="1"/>
  <c r="CP304" i="1"/>
  <c r="CP265" i="1"/>
  <c r="CP257" i="1"/>
  <c r="CP150" i="1"/>
  <c r="CP338" i="1"/>
  <c r="CP440" i="1"/>
  <c r="CP226" i="1"/>
  <c r="CP233" i="1"/>
  <c r="CP118" i="1"/>
  <c r="CP248" i="1"/>
  <c r="CP102" i="1"/>
  <c r="CP20" i="1"/>
  <c r="CP136" i="1"/>
  <c r="CP96" i="1"/>
  <c r="CP21" i="1"/>
  <c r="CP299" i="1"/>
  <c r="CP414" i="1"/>
  <c r="CP324" i="1"/>
  <c r="CP61" i="1"/>
  <c r="CP204" i="1"/>
  <c r="CP254" i="1"/>
  <c r="CP98" i="1"/>
  <c r="CP148" i="1"/>
  <c r="CP230" i="1"/>
  <c r="CP252" i="1"/>
  <c r="CP297" i="1"/>
  <c r="CP16" i="1"/>
  <c r="CP73" i="1"/>
  <c r="CP228" i="1"/>
  <c r="CP155" i="1"/>
  <c r="CP174" i="1"/>
  <c r="CP310" i="1"/>
  <c r="CP449" i="1"/>
  <c r="CP92" i="1"/>
  <c r="CP285" i="1"/>
  <c r="CP332" i="1"/>
  <c r="CP356" i="1"/>
  <c r="CP183" i="1"/>
  <c r="CP223" i="1"/>
  <c r="CP45" i="1"/>
  <c r="CP181" i="1"/>
  <c r="CP172" i="1"/>
  <c r="CP337" i="1"/>
  <c r="CP78" i="1"/>
  <c r="CP313" i="1"/>
  <c r="CP363" i="1"/>
  <c r="CP277" i="1"/>
  <c r="CP178" i="1"/>
  <c r="CP442" i="1"/>
  <c r="CP237" i="1"/>
  <c r="CP177" i="1"/>
  <c r="CP438" i="1"/>
  <c r="CP117" i="1"/>
  <c r="CP211" i="1"/>
  <c r="CP276" i="1"/>
  <c r="CP329" i="1"/>
  <c r="CP448" i="1"/>
  <c r="CP447" i="1"/>
  <c r="CP67" i="1"/>
  <c r="CP104" i="1"/>
  <c r="CP66" i="1"/>
  <c r="CP439" i="1"/>
  <c r="CP460" i="1"/>
  <c r="CP308" i="1"/>
  <c r="CP166" i="1"/>
  <c r="CP374" i="1"/>
  <c r="CP425" i="1"/>
  <c r="CP187" i="1"/>
  <c r="CP243" i="1"/>
  <c r="CP353" i="1"/>
  <c r="CP368" i="1"/>
  <c r="CP152" i="1"/>
  <c r="CP296" i="1"/>
  <c r="CP189" i="1"/>
  <c r="CP300" i="1"/>
  <c r="CP246" i="1"/>
  <c r="CP31" i="1"/>
  <c r="CP331" i="1"/>
  <c r="CP322" i="1"/>
  <c r="CP84" i="1"/>
  <c r="CP335" i="1"/>
  <c r="CP107" i="1"/>
  <c r="CP199" i="1"/>
  <c r="CP218" i="1"/>
  <c r="CP371" i="1"/>
  <c r="CP251" i="1"/>
  <c r="CP192" i="1"/>
  <c r="CP194" i="1"/>
  <c r="CP75" i="1"/>
  <c r="CP125" i="1"/>
  <c r="CP343" i="1"/>
  <c r="CP323" i="1"/>
  <c r="CP462" i="1"/>
  <c r="CP112" i="1"/>
  <c r="CP143" i="1"/>
  <c r="CP200" i="1"/>
  <c r="CP123" i="1"/>
  <c r="CP292" i="1"/>
  <c r="CP342" i="1"/>
  <c r="CP105" i="1"/>
  <c r="CP253" i="1"/>
  <c r="CP163" i="1"/>
  <c r="CP195" i="1"/>
  <c r="CP401" i="1"/>
  <c r="CP328" i="1"/>
  <c r="CP455" i="1"/>
  <c r="CP232" i="1"/>
  <c r="CP72" i="1"/>
  <c r="CP286" i="1"/>
  <c r="CP12" i="1"/>
  <c r="CP51" i="1"/>
  <c r="CP50" i="1"/>
  <c r="CP399" i="1"/>
  <c r="CP151" i="1"/>
  <c r="CP345" i="1"/>
  <c r="CP70" i="1"/>
  <c r="CP30" i="1"/>
  <c r="CP207" i="1"/>
  <c r="CP193" i="1"/>
  <c r="CP100" i="1"/>
  <c r="CP99" i="1"/>
  <c r="CP317" i="1"/>
  <c r="CP309" i="1"/>
  <c r="CP47" i="1"/>
  <c r="CP88" i="1"/>
  <c r="CP214" i="1"/>
  <c r="CP244" i="1"/>
  <c r="CP108" i="1"/>
  <c r="CP156" i="1"/>
  <c r="CP259" i="1"/>
  <c r="CP55" i="1"/>
  <c r="CP25" i="1"/>
  <c r="CP22" i="1"/>
  <c r="CP85" i="1"/>
  <c r="CP445" i="1"/>
  <c r="CP24" i="1"/>
  <c r="CP126" i="1"/>
  <c r="CP446" i="1"/>
  <c r="CP140" i="1"/>
  <c r="CP58" i="1"/>
  <c r="CP59" i="1"/>
  <c r="CP274" i="1"/>
  <c r="CP113" i="1"/>
  <c r="CP206" i="1"/>
  <c r="CP175" i="1"/>
  <c r="CP349" i="1"/>
  <c r="CP69" i="1"/>
  <c r="CP431" i="1"/>
  <c r="CP190" i="1"/>
  <c r="CP432" i="1"/>
  <c r="CP351" i="1"/>
  <c r="CP164" i="1"/>
  <c r="CP387" i="1"/>
  <c r="CP106" i="1"/>
  <c r="CP103" i="1"/>
  <c r="CP281" i="1"/>
  <c r="CP144" i="1"/>
  <c r="CP114" i="1"/>
  <c r="CP111" i="1"/>
  <c r="CP4" i="1"/>
  <c r="CP81" i="1"/>
  <c r="CP179" i="1"/>
  <c r="CP158" i="1"/>
  <c r="CP217" i="1"/>
  <c r="CP128" i="1"/>
  <c r="CP361" i="1"/>
  <c r="CP3" i="1"/>
  <c r="CP392" i="1"/>
  <c r="CP159" i="1"/>
  <c r="CP63" i="1"/>
  <c r="CP43" i="1"/>
  <c r="CP19" i="1"/>
  <c r="CP280" i="1"/>
  <c r="CP132" i="1"/>
  <c r="CP168" i="1"/>
  <c r="H7" i="3"/>
  <c r="H8" i="3" s="1"/>
  <c r="H6" i="3"/>
  <c r="CM110" i="1"/>
  <c r="CM209" i="1"/>
  <c r="CM257" i="1"/>
  <c r="CM451" i="1"/>
  <c r="CM327" i="1"/>
  <c r="CM458" i="1"/>
  <c r="CM153" i="1"/>
  <c r="CM457" i="1"/>
  <c r="CM450" i="1"/>
  <c r="CM461" i="1"/>
  <c r="CM456" i="1"/>
  <c r="CM252" i="1"/>
  <c r="CM449" i="1"/>
  <c r="CM448" i="1"/>
  <c r="CM447" i="1"/>
  <c r="CM460" i="1"/>
  <c r="CM462" i="1"/>
  <c r="CM112" i="1"/>
  <c r="CM455" i="1"/>
  <c r="CM446" i="1"/>
  <c r="CM115" i="1"/>
  <c r="CK168" i="1"/>
  <c r="H5" i="3"/>
  <c r="DD55" i="1" l="1"/>
  <c r="DG55" i="1" s="1"/>
  <c r="CZ282" i="1"/>
  <c r="DB320" i="1"/>
  <c r="DA222" i="1"/>
  <c r="DD53" i="1"/>
  <c r="DG53" i="1" s="1"/>
  <c r="DB336" i="1"/>
  <c r="DC336" i="1" s="1"/>
  <c r="DD489" i="1"/>
  <c r="DG489" i="1" s="1"/>
  <c r="CZ414" i="1"/>
  <c r="DA414" i="1"/>
  <c r="DB166" i="1"/>
  <c r="DD337" i="1"/>
  <c r="DG337" i="1" s="1"/>
  <c r="DA166" i="1"/>
  <c r="DJ166" i="1" s="1"/>
  <c r="DB432" i="1"/>
  <c r="DC432" i="1" s="1"/>
  <c r="DE432" i="1"/>
  <c r="DH432" i="1" s="1"/>
  <c r="DD448" i="1"/>
  <c r="DG448" i="1" s="1"/>
  <c r="CZ186" i="1"/>
  <c r="CZ230" i="1"/>
  <c r="DA169" i="1"/>
  <c r="DA186" i="1"/>
  <c r="DE433" i="1"/>
  <c r="DH433" i="1" s="1"/>
  <c r="DA3" i="1"/>
  <c r="DE38" i="1"/>
  <c r="DH38" i="1" s="1"/>
  <c r="DA4" i="1"/>
  <c r="CZ166" i="1"/>
  <c r="DD137" i="1"/>
  <c r="DG137" i="1" s="1"/>
  <c r="DI137" i="1" s="1"/>
  <c r="DE428" i="1"/>
  <c r="DH428" i="1" s="1"/>
  <c r="DI428" i="1" s="1"/>
  <c r="DD498" i="1"/>
  <c r="DG498" i="1" s="1"/>
  <c r="DD144" i="1"/>
  <c r="DG144" i="1" s="1"/>
  <c r="DI144" i="1" s="1"/>
  <c r="DB130" i="1"/>
  <c r="CZ196" i="1"/>
  <c r="CZ268" i="1"/>
  <c r="DD268" i="1"/>
  <c r="DG268" i="1" s="1"/>
  <c r="DI268" i="1" s="1"/>
  <c r="DB3" i="1"/>
  <c r="CZ432" i="1"/>
  <c r="DD113" i="1"/>
  <c r="DG113" i="1" s="1"/>
  <c r="DA38" i="1"/>
  <c r="DD432" i="1"/>
  <c r="DG432" i="1" s="1"/>
  <c r="DA274" i="1"/>
  <c r="DB230" i="1"/>
  <c r="DC230" i="1" s="1"/>
  <c r="DB344" i="1"/>
  <c r="DA289" i="1"/>
  <c r="DC289" i="1" s="1"/>
  <c r="DE416" i="1"/>
  <c r="DH416" i="1" s="1"/>
  <c r="DA495" i="1"/>
  <c r="DE111" i="1"/>
  <c r="DH111" i="1" s="1"/>
  <c r="DI111" i="1" s="1"/>
  <c r="DB426" i="1"/>
  <c r="DC426" i="1" s="1"/>
  <c r="DA240" i="1"/>
  <c r="DC268" i="1"/>
  <c r="DD439" i="1"/>
  <c r="DG439" i="1" s="1"/>
  <c r="DA404" i="1"/>
  <c r="DB304" i="1"/>
  <c r="DB533" i="1"/>
  <c r="DB404" i="1"/>
  <c r="DC43" i="1"/>
  <c r="DC69" i="1"/>
  <c r="DC249" i="1"/>
  <c r="DC375" i="1"/>
  <c r="DC126" i="1"/>
  <c r="DC236" i="1"/>
  <c r="DC276" i="1"/>
  <c r="DC380" i="1"/>
  <c r="DC244" i="1"/>
  <c r="DC114" i="1"/>
  <c r="DC422" i="1"/>
  <c r="DC352" i="1"/>
  <c r="DC434" i="1"/>
  <c r="DC414" i="1"/>
  <c r="DC320" i="1"/>
  <c r="DC196" i="1"/>
  <c r="DB390" i="1"/>
  <c r="CZ371" i="1"/>
  <c r="DD32" i="1"/>
  <c r="DG32" i="1" s="1"/>
  <c r="DI32" i="1" s="1"/>
  <c r="DE4" i="1"/>
  <c r="DH4" i="1" s="1"/>
  <c r="DD212" i="1"/>
  <c r="DG212" i="1" s="1"/>
  <c r="DJ212" i="1" s="1"/>
  <c r="DD403" i="1"/>
  <c r="DG403" i="1" s="1"/>
  <c r="DE380" i="1"/>
  <c r="DH380" i="1" s="1"/>
  <c r="DI380" i="1" s="1"/>
  <c r="DE422" i="1"/>
  <c r="DH422" i="1" s="1"/>
  <c r="DJ422" i="1" s="1"/>
  <c r="CZ404" i="1"/>
  <c r="DB326" i="1"/>
  <c r="DJ326" i="1" s="1"/>
  <c r="DA130" i="1"/>
  <c r="DB316" i="1"/>
  <c r="CZ270" i="1"/>
  <c r="DE267" i="1"/>
  <c r="DH267" i="1" s="1"/>
  <c r="CZ533" i="1"/>
  <c r="DA152" i="1"/>
  <c r="DA479" i="1"/>
  <c r="DA403" i="1"/>
  <c r="DE189" i="1"/>
  <c r="DH189" i="1" s="1"/>
  <c r="CZ375" i="1"/>
  <c r="DE404" i="1"/>
  <c r="DH404" i="1" s="1"/>
  <c r="DA399" i="1"/>
  <c r="DB270" i="1"/>
  <c r="DC270" i="1" s="1"/>
  <c r="DA533" i="1"/>
  <c r="DA216" i="1"/>
  <c r="DD421" i="1"/>
  <c r="DG421" i="1" s="1"/>
  <c r="DD114" i="1"/>
  <c r="DG114" i="1" s="1"/>
  <c r="DI114" i="1" s="1"/>
  <c r="DB10" i="1"/>
  <c r="DA267" i="1"/>
  <c r="CZ189" i="1"/>
  <c r="CZ137" i="1"/>
  <c r="DB255" i="1"/>
  <c r="DA428" i="1"/>
  <c r="CZ501" i="1"/>
  <c r="DD399" i="1"/>
  <c r="DG399" i="1" s="1"/>
  <c r="DD270" i="1"/>
  <c r="DG270" i="1" s="1"/>
  <c r="DI270" i="1" s="1"/>
  <c r="DE533" i="1"/>
  <c r="DH533" i="1" s="1"/>
  <c r="DI533" i="1" s="1"/>
  <c r="DB216" i="1"/>
  <c r="CZ352" i="1"/>
  <c r="DE421" i="1"/>
  <c r="DH421" i="1" s="1"/>
  <c r="DD276" i="1"/>
  <c r="DG276" i="1" s="1"/>
  <c r="DJ276" i="1" s="1"/>
  <c r="DD289" i="1"/>
  <c r="DG289" i="1" s="1"/>
  <c r="DI289" i="1" s="1"/>
  <c r="DD189" i="1"/>
  <c r="DG189" i="1" s="1"/>
  <c r="DB144" i="1"/>
  <c r="DC144" i="1" s="1"/>
  <c r="DB399" i="1"/>
  <c r="CZ130" i="1"/>
  <c r="DA73" i="1"/>
  <c r="DD216" i="1"/>
  <c r="DG216" i="1" s="1"/>
  <c r="DI216" i="1" s="1"/>
  <c r="DA10" i="1"/>
  <c r="DD10" i="1"/>
  <c r="DG10" i="1" s="1"/>
  <c r="DE10" i="1"/>
  <c r="DH10" i="1" s="1"/>
  <c r="DA190" i="1"/>
  <c r="DE461" i="1"/>
  <c r="DH461" i="1" s="1"/>
  <c r="DI461" i="1" s="1"/>
  <c r="DE187" i="1"/>
  <c r="DH187" i="1" s="1"/>
  <c r="DI187" i="1" s="1"/>
  <c r="CZ424" i="1"/>
  <c r="DA184" i="1"/>
  <c r="CZ82" i="1"/>
  <c r="DA453" i="1"/>
  <c r="DB240" i="1"/>
  <c r="DD384" i="1"/>
  <c r="DG384" i="1" s="1"/>
  <c r="DI384" i="1" s="1"/>
  <c r="CZ111" i="1"/>
  <c r="DA64" i="1"/>
  <c r="DB317" i="1"/>
  <c r="CZ321" i="1"/>
  <c r="DD321" i="1"/>
  <c r="DG321" i="1" s="1"/>
  <c r="DD347" i="1"/>
  <c r="DG347" i="1" s="1"/>
  <c r="DE347" i="1"/>
  <c r="DH347" i="1" s="1"/>
  <c r="DA431" i="1"/>
  <c r="DE232" i="1"/>
  <c r="DH232" i="1" s="1"/>
  <c r="DD355" i="1"/>
  <c r="DG355" i="1" s="1"/>
  <c r="DB443" i="1"/>
  <c r="DC443" i="1" s="1"/>
  <c r="DD349" i="1"/>
  <c r="DG349" i="1" s="1"/>
  <c r="DI349" i="1" s="1"/>
  <c r="DA251" i="1"/>
  <c r="DB122" i="1"/>
  <c r="DD389" i="1"/>
  <c r="DG389" i="1" s="1"/>
  <c r="CZ53" i="1"/>
  <c r="DD153" i="1"/>
  <c r="DG153" i="1" s="1"/>
  <c r="DA77" i="1"/>
  <c r="CZ500" i="1"/>
  <c r="DD431" i="1"/>
  <c r="DG431" i="1" s="1"/>
  <c r="DA111" i="1"/>
  <c r="DE199" i="1"/>
  <c r="DH199" i="1" s="1"/>
  <c r="DA355" i="1"/>
  <c r="DE443" i="1"/>
  <c r="DH443" i="1" s="1"/>
  <c r="DE502" i="1"/>
  <c r="DH502" i="1" s="1"/>
  <c r="DD56" i="1"/>
  <c r="DG56" i="1" s="1"/>
  <c r="DB500" i="1"/>
  <c r="DA68" i="1"/>
  <c r="DB111" i="1"/>
  <c r="DE82" i="1"/>
  <c r="DH82" i="1" s="1"/>
  <c r="DE92" i="1"/>
  <c r="DH92" i="1" s="1"/>
  <c r="DA57" i="1"/>
  <c r="DB413" i="1"/>
  <c r="DA461" i="1"/>
  <c r="CZ217" i="1"/>
  <c r="CZ426" i="1"/>
  <c r="DE57" i="1"/>
  <c r="DH57" i="1" s="1"/>
  <c r="DB19" i="1"/>
  <c r="DA304" i="1"/>
  <c r="DE344" i="1"/>
  <c r="DH344" i="1" s="1"/>
  <c r="DE439" i="1"/>
  <c r="DH439" i="1" s="1"/>
  <c r="CZ225" i="1"/>
  <c r="DE153" i="1"/>
  <c r="DH153" i="1" s="1"/>
  <c r="DA9" i="1"/>
  <c r="CZ77" i="1"/>
  <c r="DE424" i="1"/>
  <c r="DH424" i="1" s="1"/>
  <c r="DB57" i="1"/>
  <c r="CZ81" i="1"/>
  <c r="CZ9" i="1"/>
  <c r="DA246" i="1"/>
  <c r="DE97" i="1"/>
  <c r="DH97" i="1" s="1"/>
  <c r="DI97" i="1" s="1"/>
  <c r="DA101" i="1"/>
  <c r="DA5" i="1"/>
  <c r="DD274" i="1"/>
  <c r="DG274" i="1" s="1"/>
  <c r="DE5" i="1"/>
  <c r="DH5" i="1" s="1"/>
  <c r="DA297" i="1"/>
  <c r="DD444" i="1"/>
  <c r="DG444" i="1" s="1"/>
  <c r="CZ177" i="1"/>
  <c r="DA146" i="1"/>
  <c r="CZ286" i="1"/>
  <c r="DA337" i="1"/>
  <c r="DC337" i="1" s="1"/>
  <c r="DE146" i="1"/>
  <c r="DH146" i="1" s="1"/>
  <c r="DD38" i="1"/>
  <c r="DG38" i="1" s="1"/>
  <c r="DA498" i="1"/>
  <c r="DF498" i="1" s="1"/>
  <c r="DD286" i="1"/>
  <c r="DG286" i="1" s="1"/>
  <c r="DD50" i="1"/>
  <c r="DG50" i="1" s="1"/>
  <c r="DA113" i="1"/>
  <c r="DB38" i="1"/>
  <c r="CZ290" i="1"/>
  <c r="DD361" i="1"/>
  <c r="DG361" i="1" s="1"/>
  <c r="DD290" i="1"/>
  <c r="DG290" i="1" s="1"/>
  <c r="DI290" i="1" s="1"/>
  <c r="CZ97" i="1"/>
  <c r="DE361" i="1"/>
  <c r="DH361" i="1" s="1"/>
  <c r="DE386" i="1"/>
  <c r="DH386" i="1" s="1"/>
  <c r="DI386" i="1" s="1"/>
  <c r="DD222" i="1"/>
  <c r="DB113" i="1"/>
  <c r="DD177" i="1"/>
  <c r="DG177" i="1" s="1"/>
  <c r="DI177" i="1" s="1"/>
  <c r="DB274" i="1"/>
  <c r="CZ448" i="1"/>
  <c r="DE101" i="1"/>
  <c r="DA50" i="1"/>
  <c r="DB325" i="1"/>
  <c r="DB297" i="1"/>
  <c r="DB295" i="1"/>
  <c r="DA333" i="1"/>
  <c r="DE274" i="1"/>
  <c r="DH274" i="1" s="1"/>
  <c r="DD359" i="1"/>
  <c r="DG359" i="1" s="1"/>
  <c r="CZ303" i="1"/>
  <c r="CZ113" i="1"/>
  <c r="DB199" i="1"/>
  <c r="DB424" i="1"/>
  <c r="CZ453" i="1"/>
  <c r="DE453" i="1"/>
  <c r="DH453" i="1" s="1"/>
  <c r="CZ317" i="1"/>
  <c r="DD317" i="1"/>
  <c r="DG317" i="1" s="1"/>
  <c r="DI317" i="1" s="1"/>
  <c r="CZ356" i="1"/>
  <c r="DA356" i="1"/>
  <c r="CZ219" i="1"/>
  <c r="DD219" i="1"/>
  <c r="DG219" i="1" s="1"/>
  <c r="DB452" i="1"/>
  <c r="DD452" i="1"/>
  <c r="DG452" i="1" s="1"/>
  <c r="CZ452" i="1"/>
  <c r="DB495" i="1"/>
  <c r="DE495" i="1"/>
  <c r="DH495" i="1" s="1"/>
  <c r="DD495" i="1"/>
  <c r="DG495" i="1" s="1"/>
  <c r="DD387" i="1"/>
  <c r="DG387" i="1" s="1"/>
  <c r="DB387" i="1"/>
  <c r="DE387" i="1"/>
  <c r="DH387" i="1" s="1"/>
  <c r="DA387" i="1"/>
  <c r="DA187" i="1"/>
  <c r="CZ187" i="1"/>
  <c r="DB187" i="1"/>
  <c r="DE184" i="1"/>
  <c r="DH184" i="1" s="1"/>
  <c r="DB184" i="1"/>
  <c r="DD184" i="1"/>
  <c r="DG184" i="1" s="1"/>
  <c r="DA80" i="1"/>
  <c r="CZ80" i="1"/>
  <c r="DB80" i="1"/>
  <c r="DA301" i="1"/>
  <c r="DB301" i="1"/>
  <c r="DE301" i="1"/>
  <c r="DA400" i="1"/>
  <c r="DD400" i="1"/>
  <c r="DB400" i="1"/>
  <c r="DE173" i="1"/>
  <c r="DH173" i="1" s="1"/>
  <c r="CZ173" i="1"/>
  <c r="DD173" i="1"/>
  <c r="DG173" i="1" s="1"/>
  <c r="CZ300" i="1"/>
  <c r="DA300" i="1"/>
  <c r="DC300" i="1" s="1"/>
  <c r="DD300" i="1"/>
  <c r="DG300" i="1" s="1"/>
  <c r="CZ135" i="1"/>
  <c r="DE135" i="1"/>
  <c r="DB135" i="1"/>
  <c r="DB100" i="1"/>
  <c r="DA100" i="1"/>
  <c r="CZ100" i="1"/>
  <c r="DA92" i="1"/>
  <c r="DB92" i="1"/>
  <c r="DE68" i="1"/>
  <c r="DH68" i="1" s="1"/>
  <c r="CZ68" i="1"/>
  <c r="DB153" i="1"/>
  <c r="DA153" i="1"/>
  <c r="DB384" i="1"/>
  <c r="DA384" i="1"/>
  <c r="DD426" i="1"/>
  <c r="DE426" i="1"/>
  <c r="DH426" i="1" s="1"/>
  <c r="DB81" i="1"/>
  <c r="DD81" i="1"/>
  <c r="DG81" i="1" s="1"/>
  <c r="DA81" i="1"/>
  <c r="DD246" i="1"/>
  <c r="DB246" i="1"/>
  <c r="DE122" i="1"/>
  <c r="CZ122" i="1"/>
  <c r="DA122" i="1"/>
  <c r="DB461" i="1"/>
  <c r="CZ461" i="1"/>
  <c r="DD502" i="1"/>
  <c r="DG502" i="1" s="1"/>
  <c r="CZ502" i="1"/>
  <c r="DB158" i="1"/>
  <c r="CZ158" i="1"/>
  <c r="DE158" i="1"/>
  <c r="DA158" i="1"/>
  <c r="DD64" i="1"/>
  <c r="DG64" i="1" s="1"/>
  <c r="DE64" i="1"/>
  <c r="DH64" i="1" s="1"/>
  <c r="CZ64" i="1"/>
  <c r="DB190" i="1"/>
  <c r="DE190" i="1"/>
  <c r="DH190" i="1" s="1"/>
  <c r="DI190" i="1" s="1"/>
  <c r="DA308" i="1"/>
  <c r="DC308" i="1" s="1"/>
  <c r="DE308" i="1"/>
  <c r="DD308" i="1"/>
  <c r="DG308" i="1" s="1"/>
  <c r="DE389" i="1"/>
  <c r="DB389" i="1"/>
  <c r="DA389" i="1"/>
  <c r="DB56" i="1"/>
  <c r="DE56" i="1"/>
  <c r="DA279" i="1"/>
  <c r="DE279" i="1"/>
  <c r="DB279" i="1"/>
  <c r="DD9" i="1"/>
  <c r="DG9" i="1" s="1"/>
  <c r="DE9" i="1"/>
  <c r="DH9" i="1" s="1"/>
  <c r="CZ443" i="1"/>
  <c r="DD443" i="1"/>
  <c r="DB431" i="1"/>
  <c r="CZ431" i="1"/>
  <c r="DB439" i="1"/>
  <c r="DA439" i="1"/>
  <c r="CZ240" i="1"/>
  <c r="DE240" i="1"/>
  <c r="DA430" i="1"/>
  <c r="DC430" i="1" s="1"/>
  <c r="DE430" i="1"/>
  <c r="DH430" i="1" s="1"/>
  <c r="DD430" i="1"/>
  <c r="DG430" i="1" s="1"/>
  <c r="CZ430" i="1"/>
  <c r="DD413" i="1"/>
  <c r="DE413" i="1"/>
  <c r="DH413" i="1" s="1"/>
  <c r="CZ413" i="1"/>
  <c r="DD221" i="1"/>
  <c r="DG221" i="1" s="1"/>
  <c r="DE221" i="1"/>
  <c r="DH221" i="1" s="1"/>
  <c r="DA221" i="1"/>
  <c r="DC221" i="1" s="1"/>
  <c r="CZ221" i="1"/>
  <c r="CZ103" i="1"/>
  <c r="DA103" i="1"/>
  <c r="DC103" i="1" s="1"/>
  <c r="DE103" i="1"/>
  <c r="DH103" i="1" s="1"/>
  <c r="DD103" i="1"/>
  <c r="DD82" i="1"/>
  <c r="DG82" i="1" s="1"/>
  <c r="DA82" i="1"/>
  <c r="DC82" i="1" s="1"/>
  <c r="DA349" i="1"/>
  <c r="CZ349" i="1"/>
  <c r="DB349" i="1"/>
  <c r="DE66" i="1"/>
  <c r="DH66" i="1" s="1"/>
  <c r="DA66" i="1"/>
  <c r="DB66" i="1"/>
  <c r="CZ66" i="1"/>
  <c r="CZ236" i="1"/>
  <c r="DE236" i="1"/>
  <c r="DA53" i="1"/>
  <c r="DE53" i="1"/>
  <c r="DH53" i="1" s="1"/>
  <c r="DB77" i="1"/>
  <c r="DD77" i="1"/>
  <c r="DG77" i="1" s="1"/>
  <c r="CZ523" i="1"/>
  <c r="DD523" i="1"/>
  <c r="DG523" i="1" s="1"/>
  <c r="DE523" i="1"/>
  <c r="DH523" i="1" s="1"/>
  <c r="DE435" i="1"/>
  <c r="DH435" i="1" s="1"/>
  <c r="DD435" i="1"/>
  <c r="DG435" i="1" s="1"/>
  <c r="CZ148" i="1"/>
  <c r="DE148" i="1"/>
  <c r="DA148" i="1"/>
  <c r="DC148" i="1" s="1"/>
  <c r="DE489" i="1"/>
  <c r="DH489" i="1" s="1"/>
  <c r="DB489" i="1"/>
  <c r="DA489" i="1"/>
  <c r="DD163" i="1"/>
  <c r="DB163" i="1"/>
  <c r="DC163" i="1" s="1"/>
  <c r="CZ163" i="1"/>
  <c r="DD336" i="1"/>
  <c r="CZ336" i="1"/>
  <c r="DD34" i="1"/>
  <c r="DG34" i="1" s="1"/>
  <c r="DE34" i="1"/>
  <c r="DH34" i="1" s="1"/>
  <c r="DA34" i="1"/>
  <c r="CZ537" i="1"/>
  <c r="DE537" i="1"/>
  <c r="DH537" i="1" s="1"/>
  <c r="CZ481" i="1"/>
  <c r="DE481" i="1"/>
  <c r="DH481" i="1" s="1"/>
  <c r="DB177" i="1"/>
  <c r="DA177" i="1"/>
  <c r="CZ406" i="1"/>
  <c r="DE406" i="1"/>
  <c r="DH406" i="1" s="1"/>
  <c r="DB406" i="1"/>
  <c r="DC406" i="1" s="1"/>
  <c r="DD406" i="1"/>
  <c r="DG406" i="1" s="1"/>
  <c r="DB50" i="1"/>
  <c r="CZ50" i="1"/>
  <c r="DD297" i="1"/>
  <c r="CZ297" i="1"/>
  <c r="DB101" i="1"/>
  <c r="CZ101" i="1"/>
  <c r="DE325" i="1"/>
  <c r="CZ325" i="1"/>
  <c r="DB5" i="1"/>
  <c r="CZ5" i="1"/>
  <c r="CZ498" i="1"/>
  <c r="DE498" i="1"/>
  <c r="CZ146" i="1"/>
  <c r="DB146" i="1"/>
  <c r="DA448" i="1"/>
  <c r="DE448" i="1"/>
  <c r="DH448" i="1" s="1"/>
  <c r="DE210" i="1"/>
  <c r="DH210" i="1" s="1"/>
  <c r="DD210" i="1"/>
  <c r="DA210" i="1"/>
  <c r="DC210" i="1" s="1"/>
  <c r="CZ210" i="1"/>
  <c r="DA444" i="1"/>
  <c r="DB444" i="1"/>
  <c r="CZ444" i="1"/>
  <c r="DA416" i="1"/>
  <c r="DB416" i="1"/>
  <c r="DD416" i="1"/>
  <c r="DE320" i="1"/>
  <c r="DH320" i="1" s="1"/>
  <c r="DD320" i="1"/>
  <c r="CZ320" i="1"/>
  <c r="DD433" i="1"/>
  <c r="DG433" i="1" s="1"/>
  <c r="CZ433" i="1"/>
  <c r="DA433" i="1"/>
  <c r="DC433" i="1" s="1"/>
  <c r="CZ337" i="1"/>
  <c r="DE337" i="1"/>
  <c r="DE286" i="1"/>
  <c r="DH286" i="1" s="1"/>
  <c r="DA286" i="1"/>
  <c r="DC286" i="1" s="1"/>
  <c r="DE230" i="1"/>
  <c r="DH230" i="1" s="1"/>
  <c r="DD230" i="1"/>
  <c r="DG230" i="1" s="1"/>
  <c r="DD186" i="1"/>
  <c r="DB186" i="1"/>
  <c r="DC186" i="1" s="1"/>
  <c r="CZ169" i="1"/>
  <c r="DB169" i="1"/>
  <c r="DD169" i="1"/>
  <c r="DG169" i="1" s="1"/>
  <c r="CZ3" i="1"/>
  <c r="DE3" i="1"/>
  <c r="CZ32" i="1"/>
  <c r="DB32" i="1"/>
  <c r="CZ318" i="1"/>
  <c r="DE318" i="1"/>
  <c r="DH318" i="1" s="1"/>
  <c r="DB318" i="1"/>
  <c r="DA318" i="1"/>
  <c r="DB282" i="1"/>
  <c r="DE282" i="1"/>
  <c r="DA282" i="1"/>
  <c r="DE261" i="1"/>
  <c r="DH261" i="1" s="1"/>
  <c r="DI261" i="1" s="1"/>
  <c r="DA261" i="1"/>
  <c r="DB261" i="1"/>
  <c r="CZ222" i="1"/>
  <c r="DB222" i="1"/>
  <c r="DB55" i="1"/>
  <c r="DE55" i="1"/>
  <c r="DH55" i="1" s="1"/>
  <c r="CZ55" i="1"/>
  <c r="DA242" i="1"/>
  <c r="DC242" i="1" s="1"/>
  <c r="DD242" i="1"/>
  <c r="CZ242" i="1"/>
  <c r="CZ446" i="1"/>
  <c r="DA446" i="1"/>
  <c r="DJ446" i="1" s="1"/>
  <c r="DB117" i="1"/>
  <c r="DE117" i="1"/>
  <c r="DA117" i="1"/>
  <c r="DE196" i="1"/>
  <c r="DH196" i="1" s="1"/>
  <c r="DD196" i="1"/>
  <c r="DG196" i="1" s="1"/>
  <c r="DD412" i="1"/>
  <c r="DG412" i="1" s="1"/>
  <c r="DE412" i="1"/>
  <c r="DH412" i="1" s="1"/>
  <c r="DD367" i="1"/>
  <c r="DA367" i="1"/>
  <c r="DC367" i="1" s="1"/>
  <c r="CZ524" i="1"/>
  <c r="DA524" i="1"/>
  <c r="DB524" i="1"/>
  <c r="DD458" i="1"/>
  <c r="DG458" i="1" s="1"/>
  <c r="DE458" i="1"/>
  <c r="DH458" i="1" s="1"/>
  <c r="CZ126" i="1"/>
  <c r="DE126" i="1"/>
  <c r="DB438" i="1"/>
  <c r="DJ438" i="1" s="1"/>
  <c r="CZ438" i="1"/>
  <c r="DE249" i="1"/>
  <c r="CZ249" i="1"/>
  <c r="CZ269" i="1"/>
  <c r="DB269" i="1"/>
  <c r="DJ269" i="1" s="1"/>
  <c r="DA519" i="1"/>
  <c r="DF519" i="1" s="1"/>
  <c r="DD519" i="1"/>
  <c r="CZ519" i="1"/>
  <c r="DB309" i="1"/>
  <c r="DC309" i="1" s="1"/>
  <c r="DD309" i="1"/>
  <c r="DB388" i="1"/>
  <c r="DC388" i="1" s="1"/>
  <c r="CZ388" i="1"/>
  <c r="DD388" i="1"/>
  <c r="DB24" i="1"/>
  <c r="DJ24" i="1" s="1"/>
  <c r="CZ24" i="1"/>
  <c r="DE237" i="1"/>
  <c r="DA237" i="1"/>
  <c r="DC237" i="1" s="1"/>
  <c r="CZ237" i="1"/>
  <c r="DE65" i="1"/>
  <c r="DH65" i="1" s="1"/>
  <c r="DD65" i="1"/>
  <c r="DG65" i="1" s="1"/>
  <c r="CZ65" i="1"/>
  <c r="DE450" i="1"/>
  <c r="DH450" i="1" s="1"/>
  <c r="DD450" i="1"/>
  <c r="DG450" i="1" s="1"/>
  <c r="DA450" i="1"/>
  <c r="DA327" i="1"/>
  <c r="DD327" i="1"/>
  <c r="DG327" i="1" s="1"/>
  <c r="DB185" i="1"/>
  <c r="DA185" i="1"/>
  <c r="CZ185" i="1"/>
  <c r="DD185" i="1"/>
  <c r="DE231" i="1"/>
  <c r="DB231" i="1"/>
  <c r="DA231" i="1"/>
  <c r="CZ434" i="1"/>
  <c r="DD434" i="1"/>
  <c r="DG434" i="1" s="1"/>
  <c r="DI434" i="1" s="1"/>
  <c r="CZ485" i="1"/>
  <c r="DE485" i="1"/>
  <c r="CZ323" i="1"/>
  <c r="DE323" i="1"/>
  <c r="DA323" i="1"/>
  <c r="DB323" i="1"/>
  <c r="DA440" i="1"/>
  <c r="CZ440" i="1"/>
  <c r="DE397" i="1"/>
  <c r="DB397" i="1"/>
  <c r="DA397" i="1"/>
  <c r="DD41" i="1"/>
  <c r="DG41" i="1" s="1"/>
  <c r="DB41" i="1"/>
  <c r="DA41" i="1"/>
  <c r="DD418" i="1"/>
  <c r="DB418" i="1"/>
  <c r="DA418" i="1"/>
  <c r="DE506" i="1"/>
  <c r="DA506" i="1"/>
  <c r="DF506" i="1" s="1"/>
  <c r="CZ506" i="1"/>
  <c r="CZ503" i="1"/>
  <c r="DA503" i="1"/>
  <c r="DD45" i="1"/>
  <c r="DG45" i="1" s="1"/>
  <c r="DE45" i="1"/>
  <c r="DH45" i="1" s="1"/>
  <c r="DE402" i="1"/>
  <c r="CZ402" i="1"/>
  <c r="DE360" i="1"/>
  <c r="DH360" i="1" s="1"/>
  <c r="DB360" i="1"/>
  <c r="DA360" i="1"/>
  <c r="DE491" i="1"/>
  <c r="DH491" i="1" s="1"/>
  <c r="DA491" i="1"/>
  <c r="DB491" i="1"/>
  <c r="CZ90" i="1"/>
  <c r="DA90" i="1"/>
  <c r="CZ335" i="1"/>
  <c r="DE335" i="1"/>
  <c r="DH335" i="1" s="1"/>
  <c r="CZ167" i="1"/>
  <c r="DE167" i="1"/>
  <c r="DH167" i="1" s="1"/>
  <c r="DE369" i="1"/>
  <c r="DH369" i="1" s="1"/>
  <c r="DD369" i="1"/>
  <c r="DG369" i="1" s="1"/>
  <c r="DE496" i="1"/>
  <c r="DH496" i="1" s="1"/>
  <c r="DD496" i="1"/>
  <c r="DG496" i="1" s="1"/>
  <c r="DD188" i="1"/>
  <c r="DG188" i="1" s="1"/>
  <c r="DB232" i="1"/>
  <c r="DE295" i="1"/>
  <c r="DH295" i="1" s="1"/>
  <c r="CZ361" i="1"/>
  <c r="DD255" i="1"/>
  <c r="DA225" i="1"/>
  <c r="DB90" i="1"/>
  <c r="DD304" i="1"/>
  <c r="DG304" i="1" s="1"/>
  <c r="CZ360" i="1"/>
  <c r="CZ386" i="1"/>
  <c r="DD333" i="1"/>
  <c r="DJ43" i="1"/>
  <c r="CZ355" i="1"/>
  <c r="CZ199" i="1"/>
  <c r="DE355" i="1"/>
  <c r="DH355" i="1" s="1"/>
  <c r="DA135" i="1"/>
  <c r="DB361" i="1"/>
  <c r="DC361" i="1" s="1"/>
  <c r="DA317" i="1"/>
  <c r="DA402" i="1"/>
  <c r="DE90" i="1"/>
  <c r="CZ57" i="1"/>
  <c r="DB502" i="1"/>
  <c r="DF502" i="1" s="1"/>
  <c r="CZ400" i="1"/>
  <c r="DB356" i="1"/>
  <c r="DE304" i="1"/>
  <c r="DH304" i="1" s="1"/>
  <c r="DA56" i="1"/>
  <c r="DD360" i="1"/>
  <c r="DB369" i="1"/>
  <c r="DD500" i="1"/>
  <c r="DG500" i="1" s="1"/>
  <c r="DI500" i="1" s="1"/>
  <c r="DE100" i="1"/>
  <c r="CZ308" i="1"/>
  <c r="DA167" i="1"/>
  <c r="DC167" i="1" s="1"/>
  <c r="DB68" i="1"/>
  <c r="CZ384" i="1"/>
  <c r="DD424" i="1"/>
  <c r="DB386" i="1"/>
  <c r="DC386" i="1" s="1"/>
  <c r="DB173" i="1"/>
  <c r="DC173" i="1" s="1"/>
  <c r="DB333" i="1"/>
  <c r="DA19" i="1"/>
  <c r="DA500" i="1"/>
  <c r="DD199" i="1"/>
  <c r="DE251" i="1"/>
  <c r="DD92" i="1"/>
  <c r="DB402" i="1"/>
  <c r="DB290" i="1"/>
  <c r="CZ491" i="1"/>
  <c r="DB496" i="1"/>
  <c r="CZ190" i="1"/>
  <c r="DE356" i="1"/>
  <c r="DA369" i="1"/>
  <c r="CZ246" i="1"/>
  <c r="DA45" i="1"/>
  <c r="DC45" i="1" s="1"/>
  <c r="DD167" i="1"/>
  <c r="DG167" i="1" s="1"/>
  <c r="DA219" i="1"/>
  <c r="DC219" i="1" s="1"/>
  <c r="CZ301" i="1"/>
  <c r="CZ333" i="1"/>
  <c r="CZ279" i="1"/>
  <c r="CZ343" i="1"/>
  <c r="DD344" i="1"/>
  <c r="DG344" i="1" s="1"/>
  <c r="DA295" i="1"/>
  <c r="DC295" i="1" s="1"/>
  <c r="DB251" i="1"/>
  <c r="DA290" i="1"/>
  <c r="DD491" i="1"/>
  <c r="DG491" i="1" s="1"/>
  <c r="DA496" i="1"/>
  <c r="CZ139" i="1"/>
  <c r="DD335" i="1"/>
  <c r="CZ45" i="1"/>
  <c r="CZ19" i="1"/>
  <c r="DA255" i="1"/>
  <c r="DE300" i="1"/>
  <c r="DA344" i="1"/>
  <c r="DD295" i="1"/>
  <c r="DG295" i="1" s="1"/>
  <c r="DB453" i="1"/>
  <c r="CZ255" i="1"/>
  <c r="DB225" i="1"/>
  <c r="DB139" i="1"/>
  <c r="DC139" i="1" s="1"/>
  <c r="DB335" i="1"/>
  <c r="DC335" i="1" s="1"/>
  <c r="DD80" i="1"/>
  <c r="DA452" i="1"/>
  <c r="DE219" i="1"/>
  <c r="DH219" i="1" s="1"/>
  <c r="DA273" i="1"/>
  <c r="DD51" i="1"/>
  <c r="DG51" i="1" s="1"/>
  <c r="DE381" i="1"/>
  <c r="DH381" i="1" s="1"/>
  <c r="CZ143" i="1"/>
  <c r="DB8" i="1"/>
  <c r="DA343" i="1"/>
  <c r="DD343" i="1"/>
  <c r="DI440" i="1"/>
  <c r="DI244" i="1"/>
  <c r="DI438" i="1"/>
  <c r="DA98" i="1"/>
  <c r="DC98" i="1" s="1"/>
  <c r="DI113" i="1"/>
  <c r="DI152" i="1"/>
  <c r="CZ136" i="1"/>
  <c r="DI69" i="1"/>
  <c r="DE477" i="1"/>
  <c r="DD241" i="1"/>
  <c r="DB217" i="1"/>
  <c r="DA239" i="1"/>
  <c r="DC239" i="1" s="1"/>
  <c r="CZ436" i="1"/>
  <c r="CZ324" i="1"/>
  <c r="DD225" i="1"/>
  <c r="DE409" i="1"/>
  <c r="DH409" i="1" s="1"/>
  <c r="CZ296" i="1"/>
  <c r="DA316" i="1"/>
  <c r="DE239" i="1"/>
  <c r="DH239" i="1" s="1"/>
  <c r="CZ514" i="1"/>
  <c r="DI73" i="1"/>
  <c r="DA494" i="1"/>
  <c r="CZ272" i="1"/>
  <c r="DA217" i="1"/>
  <c r="DD85" i="1"/>
  <c r="DG85" i="1" s="1"/>
  <c r="DB189" i="1"/>
  <c r="DC189" i="1" s="1"/>
  <c r="DE248" i="1"/>
  <c r="DH248" i="1" s="1"/>
  <c r="DE266" i="1"/>
  <c r="DH266" i="1" s="1"/>
  <c r="DD316" i="1"/>
  <c r="DA514" i="1"/>
  <c r="DA319" i="1"/>
  <c r="DE494" i="1"/>
  <c r="DH494" i="1" s="1"/>
  <c r="DA421" i="1"/>
  <c r="DA272" i="1"/>
  <c r="CZ479" i="1"/>
  <c r="DE19" i="1"/>
  <c r="DH19" i="1" s="1"/>
  <c r="DD217" i="1"/>
  <c r="DA296" i="1"/>
  <c r="DC296" i="1" s="1"/>
  <c r="CZ403" i="1"/>
  <c r="DD203" i="1"/>
  <c r="DG203" i="1" s="1"/>
  <c r="DA259" i="1"/>
  <c r="DE375" i="1"/>
  <c r="DD266" i="1"/>
  <c r="DE296" i="1"/>
  <c r="DE313" i="1"/>
  <c r="DH313" i="1" s="1"/>
  <c r="DD514" i="1"/>
  <c r="DG514" i="1" s="1"/>
  <c r="DD494" i="1"/>
  <c r="DG494" i="1" s="1"/>
  <c r="DB272" i="1"/>
  <c r="DB479" i="1"/>
  <c r="DD84" i="1"/>
  <c r="CZ94" i="1"/>
  <c r="DB423" i="1"/>
  <c r="DC423" i="1" s="1"/>
  <c r="DD315" i="1"/>
  <c r="DG315" i="1" s="1"/>
  <c r="DI166" i="1"/>
  <c r="DI524" i="1"/>
  <c r="DD508" i="1"/>
  <c r="DG508" i="1" s="1"/>
  <c r="DA193" i="1"/>
  <c r="DA291" i="1"/>
  <c r="CZ241" i="1"/>
  <c r="DB499" i="1"/>
  <c r="DE324" i="1"/>
  <c r="DH324" i="1" s="1"/>
  <c r="DD15" i="1"/>
  <c r="DG15" i="1" s="1"/>
  <c r="CZ525" i="1"/>
  <c r="DA499" i="1"/>
  <c r="DE285" i="1"/>
  <c r="DA321" i="1"/>
  <c r="DA15" i="1"/>
  <c r="DI414" i="1"/>
  <c r="DA14" i="1"/>
  <c r="DA12" i="1"/>
  <c r="CZ31" i="1"/>
  <c r="DA468" i="1"/>
  <c r="DF468" i="1" s="1"/>
  <c r="DB401" i="1"/>
  <c r="DB385" i="1"/>
  <c r="DA278" i="1"/>
  <c r="DB204" i="1"/>
  <c r="DA324" i="1"/>
  <c r="DC324" i="1" s="1"/>
  <c r="DA260" i="1"/>
  <c r="CZ468" i="1"/>
  <c r="DA314" i="1"/>
  <c r="DB285" i="1"/>
  <c r="DA305" i="1"/>
  <c r="DA373" i="1"/>
  <c r="DD247" i="1"/>
  <c r="DG247" i="1" s="1"/>
  <c r="DD455" i="1"/>
  <c r="DG455" i="1" s="1"/>
  <c r="DD6" i="1"/>
  <c r="DG6" i="1" s="1"/>
  <c r="DE128" i="1"/>
  <c r="DD31" i="1"/>
  <c r="DG31" i="1" s="1"/>
  <c r="CZ252" i="1"/>
  <c r="DD365" i="1"/>
  <c r="DG365" i="1" s="1"/>
  <c r="DI24" i="1"/>
  <c r="DA325" i="1"/>
  <c r="DD408" i="1"/>
  <c r="DG408" i="1" s="1"/>
  <c r="DD204" i="1"/>
  <c r="DG204" i="1" s="1"/>
  <c r="DA385" i="1"/>
  <c r="DA16" i="1"/>
  <c r="DB305" i="1"/>
  <c r="DD373" i="1"/>
  <c r="DG373" i="1" s="1"/>
  <c r="DA247" i="1"/>
  <c r="DB252" i="1"/>
  <c r="DA179" i="1"/>
  <c r="DB183" i="1"/>
  <c r="DC183" i="1" s="1"/>
  <c r="CZ149" i="1"/>
  <c r="DI501" i="1"/>
  <c r="DD175" i="1"/>
  <c r="DG175" i="1" s="1"/>
  <c r="DD328" i="1"/>
  <c r="DG328" i="1" s="1"/>
  <c r="DE254" i="1"/>
  <c r="CZ202" i="1"/>
  <c r="DE365" i="1"/>
  <c r="DH365" i="1" s="1"/>
  <c r="DE104" i="1"/>
  <c r="DH104" i="1" s="1"/>
  <c r="DI352" i="1"/>
  <c r="DB208" i="1"/>
  <c r="DD358" i="1"/>
  <c r="DG358" i="1" s="1"/>
  <c r="DB409" i="1"/>
  <c r="DC409" i="1" s="1"/>
  <c r="DB408" i="1"/>
  <c r="DD528" i="1"/>
  <c r="DG528" i="1" s="1"/>
  <c r="CZ401" i="1"/>
  <c r="CZ16" i="1"/>
  <c r="DB16" i="1"/>
  <c r="DD107" i="1"/>
  <c r="DG107" i="1" s="1"/>
  <c r="DE183" i="1"/>
  <c r="DH183" i="1" s="1"/>
  <c r="DE396" i="1"/>
  <c r="CZ513" i="1"/>
  <c r="DB59" i="1"/>
  <c r="DE328" i="1"/>
  <c r="DH328" i="1" s="1"/>
  <c r="DD202" i="1"/>
  <c r="DG202" i="1" s="1"/>
  <c r="CZ264" i="1"/>
  <c r="DE415" i="1"/>
  <c r="DH415" i="1" s="1"/>
  <c r="CZ291" i="1"/>
  <c r="DD47" i="1"/>
  <c r="DG47" i="1" s="1"/>
  <c r="CZ395" i="1"/>
  <c r="CZ201" i="1"/>
  <c r="CZ205" i="1"/>
  <c r="DA449" i="1"/>
  <c r="DD191" i="1"/>
  <c r="CZ346" i="1"/>
  <c r="DD535" i="1"/>
  <c r="DG535" i="1" s="1"/>
  <c r="CZ208" i="1"/>
  <c r="DE47" i="1"/>
  <c r="DH47" i="1" s="1"/>
  <c r="DA359" i="1"/>
  <c r="DI269" i="1"/>
  <c r="DA395" i="1"/>
  <c r="DA201" i="1"/>
  <c r="DA241" i="1"/>
  <c r="DI43" i="1"/>
  <c r="DB223" i="1"/>
  <c r="DE392" i="1"/>
  <c r="DH392" i="1" s="1"/>
  <c r="DA527" i="1"/>
  <c r="DF527" i="1" s="1"/>
  <c r="DD232" i="1"/>
  <c r="DG232" i="1" s="1"/>
  <c r="DE192" i="1"/>
  <c r="DH192" i="1" s="1"/>
  <c r="DA60" i="1"/>
  <c r="DE436" i="1"/>
  <c r="DH436" i="1" s="1"/>
  <c r="DA132" i="1"/>
  <c r="CZ259" i="1"/>
  <c r="DE331" i="1"/>
  <c r="DH331" i="1" s="1"/>
  <c r="CZ183" i="1"/>
  <c r="DA346" i="1"/>
  <c r="DB266" i="1"/>
  <c r="DC266" i="1" s="1"/>
  <c r="CZ475" i="1"/>
  <c r="DD139" i="1"/>
  <c r="DG139" i="1" s="1"/>
  <c r="DD492" i="1"/>
  <c r="DG492" i="1" s="1"/>
  <c r="DA159" i="1"/>
  <c r="DB365" i="1"/>
  <c r="DA47" i="1"/>
  <c r="DC47" i="1" s="1"/>
  <c r="DE162" i="1"/>
  <c r="DH162" i="1" s="1"/>
  <c r="DA347" i="1"/>
  <c r="DC347" i="1" s="1"/>
  <c r="CZ359" i="1"/>
  <c r="DB168" i="1"/>
  <c r="DF168" i="1" s="1"/>
  <c r="DB492" i="1"/>
  <c r="DF492" i="1" s="1"/>
  <c r="CZ14" i="1"/>
  <c r="DE202" i="1"/>
  <c r="DH202" i="1" s="1"/>
  <c r="DB218" i="1"/>
  <c r="DE359" i="1"/>
  <c r="DH359" i="1" s="1"/>
  <c r="DA467" i="1"/>
  <c r="DB201" i="1"/>
  <c r="CZ345" i="1"/>
  <c r="DE74" i="1"/>
  <c r="DH74" i="1" s="1"/>
  <c r="DD427" i="1"/>
  <c r="DG427" i="1" s="1"/>
  <c r="DE321" i="1"/>
  <c r="DH321" i="1" s="1"/>
  <c r="DD259" i="1"/>
  <c r="DG259" i="1" s="1"/>
  <c r="DA466" i="1"/>
  <c r="DF466" i="1" s="1"/>
  <c r="DA107" i="1"/>
  <c r="DA393" i="1"/>
  <c r="CZ377" i="1"/>
  <c r="DA390" i="1"/>
  <c r="DE14" i="1"/>
  <c r="DH14" i="1" s="1"/>
  <c r="CZ234" i="1"/>
  <c r="CZ466" i="1"/>
  <c r="DB159" i="1"/>
  <c r="CZ245" i="1"/>
  <c r="DB154" i="1"/>
  <c r="DC154" i="1" s="1"/>
  <c r="CZ218" i="1"/>
  <c r="DD271" i="1"/>
  <c r="DG271" i="1" s="1"/>
  <c r="DB511" i="1"/>
  <c r="DF511" i="1" s="1"/>
  <c r="DE467" i="1"/>
  <c r="DH467" i="1" s="1"/>
  <c r="DD201" i="1"/>
  <c r="DG201" i="1" s="1"/>
  <c r="DE492" i="1"/>
  <c r="DH492" i="1" s="1"/>
  <c r="CZ107" i="1"/>
  <c r="DD313" i="1"/>
  <c r="DG313" i="1" s="1"/>
  <c r="CZ420" i="1"/>
  <c r="DB345" i="1"/>
  <c r="DD192" i="1"/>
  <c r="DG192" i="1" s="1"/>
  <c r="DA74" i="1"/>
  <c r="DA427" i="1"/>
  <c r="DE107" i="1"/>
  <c r="DH107" i="1" s="1"/>
  <c r="CZ393" i="1"/>
  <c r="DB377" i="1"/>
  <c r="DC377" i="1" s="1"/>
  <c r="DE390" i="1"/>
  <c r="DH390" i="1" s="1"/>
  <c r="DB14" i="1"/>
  <c r="DE234" i="1"/>
  <c r="DH234" i="1" s="1"/>
  <c r="DD466" i="1"/>
  <c r="DG466" i="1" s="1"/>
  <c r="CZ159" i="1"/>
  <c r="DE245" i="1"/>
  <c r="DD154" i="1"/>
  <c r="DG154" i="1" s="1"/>
  <c r="CZ407" i="1"/>
  <c r="CZ47" i="1"/>
  <c r="DA218" i="1"/>
  <c r="DE271" i="1"/>
  <c r="DH271" i="1" s="1"/>
  <c r="DD467" i="1"/>
  <c r="DG467" i="1" s="1"/>
  <c r="DE305" i="1"/>
  <c r="DH305" i="1" s="1"/>
  <c r="DB393" i="1"/>
  <c r="DE377" i="1"/>
  <c r="DH377" i="1" s="1"/>
  <c r="CZ390" i="1"/>
  <c r="DA392" i="1"/>
  <c r="CZ209" i="1"/>
  <c r="DA192" i="1"/>
  <c r="DD74" i="1"/>
  <c r="DG74" i="1" s="1"/>
  <c r="DD436" i="1"/>
  <c r="DG436" i="1" s="1"/>
  <c r="DB259" i="1"/>
  <c r="CZ331" i="1"/>
  <c r="DD393" i="1"/>
  <c r="DG393" i="1" s="1"/>
  <c r="DD377" i="1"/>
  <c r="DG377" i="1" s="1"/>
  <c r="DD234" i="1"/>
  <c r="DG234" i="1" s="1"/>
  <c r="CZ492" i="1"/>
  <c r="DE466" i="1"/>
  <c r="DH466" i="1" s="1"/>
  <c r="DD159" i="1"/>
  <c r="DE154" i="1"/>
  <c r="DH154" i="1" s="1"/>
  <c r="DA407" i="1"/>
  <c r="DD218" i="1"/>
  <c r="DE329" i="1"/>
  <c r="DH329" i="1" s="1"/>
  <c r="CZ162" i="1"/>
  <c r="CZ347" i="1"/>
  <c r="DB467" i="1"/>
  <c r="DD305" i="1"/>
  <c r="DG305" i="1" s="1"/>
  <c r="DA365" i="1"/>
  <c r="CZ154" i="1"/>
  <c r="DD392" i="1"/>
  <c r="DG392" i="1" s="1"/>
  <c r="CZ74" i="1"/>
  <c r="DA232" i="1"/>
  <c r="DB192" i="1"/>
  <c r="DE60" i="1"/>
  <c r="DH60" i="1" s="1"/>
  <c r="DB436" i="1"/>
  <c r="DA202" i="1"/>
  <c r="DC202" i="1" s="1"/>
  <c r="DD132" i="1"/>
  <c r="DG132" i="1" s="1"/>
  <c r="DD331" i="1"/>
  <c r="DG331" i="1" s="1"/>
  <c r="DD183" i="1"/>
  <c r="DG183" i="1" s="1"/>
  <c r="DD410" i="1"/>
  <c r="DG410" i="1" s="1"/>
  <c r="CZ266" i="1"/>
  <c r="DA475" i="1"/>
  <c r="DB234" i="1"/>
  <c r="DC234" i="1" s="1"/>
  <c r="DE170" i="1"/>
  <c r="DH170" i="1" s="1"/>
  <c r="DB162" i="1"/>
  <c r="DC162" i="1" s="1"/>
  <c r="DE168" i="1"/>
  <c r="DH168" i="1" s="1"/>
  <c r="DB392" i="1"/>
  <c r="DD451" i="1"/>
  <c r="DG451" i="1" s="1"/>
  <c r="CZ253" i="1"/>
  <c r="CZ522" i="1"/>
  <c r="DB343" i="1"/>
  <c r="DA522" i="1"/>
  <c r="CZ382" i="1"/>
  <c r="DE227" i="1"/>
  <c r="DD522" i="1"/>
  <c r="DG522" i="1" s="1"/>
  <c r="DB61" i="1"/>
  <c r="DE172" i="1"/>
  <c r="DH172" i="1" s="1"/>
  <c r="DE253" i="1"/>
  <c r="DH253" i="1" s="1"/>
  <c r="DA381" i="1"/>
  <c r="DC381" i="1" s="1"/>
  <c r="DD102" i="1"/>
  <c r="DG102" i="1" s="1"/>
  <c r="CZ172" i="1"/>
  <c r="DE25" i="1"/>
  <c r="DB27" i="1"/>
  <c r="DA382" i="1"/>
  <c r="DA445" i="1"/>
  <c r="DE345" i="1"/>
  <c r="DE342" i="1"/>
  <c r="DH342" i="1" s="1"/>
  <c r="DE427" i="1"/>
  <c r="DH427" i="1" s="1"/>
  <c r="DE505" i="1"/>
  <c r="DH505" i="1" s="1"/>
  <c r="CZ214" i="1"/>
  <c r="DB89" i="1"/>
  <c r="DC89" i="1" s="1"/>
  <c r="DA46" i="1"/>
  <c r="DB181" i="1"/>
  <c r="DD342" i="1"/>
  <c r="DG342" i="1" s="1"/>
  <c r="DD206" i="1"/>
  <c r="DA472" i="1"/>
  <c r="DE140" i="1"/>
  <c r="DH140" i="1" s="1"/>
  <c r="DB447" i="1"/>
  <c r="CZ59" i="1"/>
  <c r="CZ228" i="1"/>
  <c r="DD140" i="1"/>
  <c r="DG140" i="1" s="1"/>
  <c r="DE460" i="1"/>
  <c r="DH460" i="1" s="1"/>
  <c r="DA391" i="1"/>
  <c r="DA209" i="1"/>
  <c r="DD471" i="1"/>
  <c r="DG471" i="1" s="1"/>
  <c r="CZ378" i="1"/>
  <c r="DB140" i="1"/>
  <c r="DC140" i="1" s="1"/>
  <c r="DA345" i="1"/>
  <c r="DD226" i="1"/>
  <c r="DG226" i="1" s="1"/>
  <c r="DB391" i="1"/>
  <c r="DB471" i="1"/>
  <c r="DB415" i="1"/>
  <c r="DB378" i="1"/>
  <c r="DC378" i="1" s="1"/>
  <c r="CZ110" i="1"/>
  <c r="DD303" i="1"/>
  <c r="DE151" i="1"/>
  <c r="DH151" i="1" s="1"/>
  <c r="DA353" i="1"/>
  <c r="DD283" i="1"/>
  <c r="DG283" i="1" s="1"/>
  <c r="DB226" i="1"/>
  <c r="DB83" i="1"/>
  <c r="DB307" i="1"/>
  <c r="DB480" i="1"/>
  <c r="DF480" i="1" s="1"/>
  <c r="DD420" i="1"/>
  <c r="DG420" i="1" s="1"/>
  <c r="CZ287" i="1"/>
  <c r="CZ511" i="1"/>
  <c r="DB513" i="1"/>
  <c r="DF513" i="1" s="1"/>
  <c r="DD252" i="1"/>
  <c r="DG252" i="1" s="1"/>
  <c r="CZ298" i="1"/>
  <c r="DB281" i="1"/>
  <c r="DE283" i="1"/>
  <c r="DH283" i="1" s="1"/>
  <c r="CZ520" i="1"/>
  <c r="DD351" i="1"/>
  <c r="DG351" i="1" s="1"/>
  <c r="DA368" i="1"/>
  <c r="CZ174" i="1"/>
  <c r="DB15" i="1"/>
  <c r="CZ353" i="1"/>
  <c r="DB291" i="1"/>
  <c r="DA525" i="1"/>
  <c r="DD468" i="1"/>
  <c r="DG468" i="1" s="1"/>
  <c r="CZ70" i="1"/>
  <c r="DA401" i="1"/>
  <c r="DE204" i="1"/>
  <c r="DH204" i="1" s="1"/>
  <c r="CZ457" i="1"/>
  <c r="DD385" i="1"/>
  <c r="DG385" i="1" s="1"/>
  <c r="DB395" i="1"/>
  <c r="CZ95" i="1"/>
  <c r="DA95" i="1"/>
  <c r="DB241" i="1"/>
  <c r="DA208" i="1"/>
  <c r="DE480" i="1"/>
  <c r="DH480" i="1" s="1"/>
  <c r="DA351" i="1"/>
  <c r="CZ22" i="1"/>
  <c r="CZ536" i="1"/>
  <c r="DD368" i="1"/>
  <c r="DG368" i="1" s="1"/>
  <c r="CZ277" i="1"/>
  <c r="DA174" i="1"/>
  <c r="DD341" i="1"/>
  <c r="DG341" i="1" s="1"/>
  <c r="DD294" i="1"/>
  <c r="DG294" i="1" s="1"/>
  <c r="DD429" i="1"/>
  <c r="DG429" i="1" s="1"/>
  <c r="DB427" i="1"/>
  <c r="DA536" i="1"/>
  <c r="DF536" i="1" s="1"/>
  <c r="DE373" i="1"/>
  <c r="DH373" i="1" s="1"/>
  <c r="DE15" i="1"/>
  <c r="DH15" i="1" s="1"/>
  <c r="DE247" i="1"/>
  <c r="DH247" i="1" s="1"/>
  <c r="DD207" i="1"/>
  <c r="DG207" i="1" s="1"/>
  <c r="CZ12" i="1"/>
  <c r="CZ348" i="1"/>
  <c r="DD109" i="1"/>
  <c r="DG109" i="1" s="1"/>
  <c r="DD149" i="1"/>
  <c r="DG149" i="1" s="1"/>
  <c r="DB314" i="1"/>
  <c r="DB94" i="1"/>
  <c r="DC94" i="1" s="1"/>
  <c r="DB260" i="1"/>
  <c r="DA33" i="1"/>
  <c r="DA134" i="1"/>
  <c r="DE476" i="1"/>
  <c r="DH476" i="1" s="1"/>
  <c r="DE513" i="1"/>
  <c r="DH513" i="1" s="1"/>
  <c r="DB175" i="1"/>
  <c r="DA462" i="1"/>
  <c r="DE31" i="1"/>
  <c r="DH31" i="1" s="1"/>
  <c r="DE252" i="1"/>
  <c r="DH252" i="1" s="1"/>
  <c r="DE145" i="1"/>
  <c r="DH145" i="1" s="1"/>
  <c r="CZ124" i="1"/>
  <c r="DE291" i="1"/>
  <c r="DB525" i="1"/>
  <c r="DE468" i="1"/>
  <c r="DH468" i="1" s="1"/>
  <c r="DD401" i="1"/>
  <c r="DB233" i="1"/>
  <c r="DB298" i="1"/>
  <c r="DC298" i="1" s="1"/>
  <c r="DD62" i="1"/>
  <c r="DG62" i="1" s="1"/>
  <c r="DD162" i="1"/>
  <c r="DG162" i="1" s="1"/>
  <c r="DB457" i="1"/>
  <c r="DE385" i="1"/>
  <c r="DH385" i="1" s="1"/>
  <c r="DD168" i="1"/>
  <c r="DG168" i="1" s="1"/>
  <c r="DD95" i="1"/>
  <c r="DD480" i="1"/>
  <c r="DG480" i="1" s="1"/>
  <c r="DA67" i="1"/>
  <c r="DD284" i="1"/>
  <c r="CZ128" i="1"/>
  <c r="DE16" i="1"/>
  <c r="DH16" i="1" s="1"/>
  <c r="DB373" i="1"/>
  <c r="DB247" i="1"/>
  <c r="DA175" i="1"/>
  <c r="DA31" i="1"/>
  <c r="CZ449" i="1"/>
  <c r="DB179" i="1"/>
  <c r="DE207" i="1"/>
  <c r="DH207" i="1" s="1"/>
  <c r="DA455" i="1"/>
  <c r="DD314" i="1"/>
  <c r="DG314" i="1" s="1"/>
  <c r="DE94" i="1"/>
  <c r="DH94" i="1" s="1"/>
  <c r="DE260" i="1"/>
  <c r="DB280" i="1"/>
  <c r="DC280" i="1" s="1"/>
  <c r="DB30" i="1"/>
  <c r="CZ254" i="1"/>
  <c r="DE525" i="1"/>
  <c r="DH525" i="1" s="1"/>
  <c r="DD298" i="1"/>
  <c r="DG298" i="1" s="1"/>
  <c r="DB510" i="1"/>
  <c r="DA330" i="1"/>
  <c r="CZ486" i="1"/>
  <c r="CZ256" i="1"/>
  <c r="DD536" i="1"/>
  <c r="DG536" i="1" s="1"/>
  <c r="CZ260" i="1"/>
  <c r="CZ134" i="1"/>
  <c r="DB469" i="1"/>
  <c r="DF469" i="1" s="1"/>
  <c r="DB486" i="1"/>
  <c r="DF486" i="1" s="1"/>
  <c r="DB351" i="1"/>
  <c r="DB368" i="1"/>
  <c r="DA294" i="1"/>
  <c r="DA429" i="1"/>
  <c r="DA532" i="1"/>
  <c r="CZ191" i="1"/>
  <c r="DB348" i="1"/>
  <c r="DC348" i="1" s="1"/>
  <c r="DD513" i="1"/>
  <c r="DG513" i="1" s="1"/>
  <c r="DE175" i="1"/>
  <c r="DH175" i="1" s="1"/>
  <c r="DA124" i="1"/>
  <c r="DA215" i="1"/>
  <c r="DE351" i="1"/>
  <c r="DH351" i="1" s="1"/>
  <c r="DE368" i="1"/>
  <c r="DH368" i="1" s="1"/>
  <c r="DB277" i="1"/>
  <c r="CZ285" i="1"/>
  <c r="DD174" i="1"/>
  <c r="DB341" i="1"/>
  <c r="DB294" i="1"/>
  <c r="DB429" i="1"/>
  <c r="DB339" i="1"/>
  <c r="DE536" i="1"/>
  <c r="DH536" i="1" s="1"/>
  <c r="DD532" i="1"/>
  <c r="DG532" i="1" s="1"/>
  <c r="DA328" i="1"/>
  <c r="DC328" i="1" s="1"/>
  <c r="DA396" i="1"/>
  <c r="DD179" i="1"/>
  <c r="DG179" i="1" s="1"/>
  <c r="CZ207" i="1"/>
  <c r="DB455" i="1"/>
  <c r="DD98" i="1"/>
  <c r="DG98" i="1" s="1"/>
  <c r="DA191" i="1"/>
  <c r="DE348" i="1"/>
  <c r="DH348" i="1" s="1"/>
  <c r="DE109" i="1"/>
  <c r="DH109" i="1" s="1"/>
  <c r="CZ396" i="1"/>
  <c r="DE314" i="1"/>
  <c r="DH314" i="1" s="1"/>
  <c r="DD94" i="1"/>
  <c r="DG94" i="1" s="1"/>
  <c r="DE134" i="1"/>
  <c r="DA36" i="1"/>
  <c r="CZ493" i="1"/>
  <c r="DB6" i="1"/>
  <c r="DC6" i="1" s="1"/>
  <c r="DE139" i="1"/>
  <c r="DH139" i="1" s="1"/>
  <c r="DE465" i="1"/>
  <c r="DH465" i="1" s="1"/>
  <c r="DA86" i="1"/>
  <c r="DA128" i="1"/>
  <c r="DA254" i="1"/>
  <c r="DA245" i="1"/>
  <c r="CZ127" i="1"/>
  <c r="DB124" i="1"/>
  <c r="CZ239" i="1"/>
  <c r="CZ528" i="1"/>
  <c r="CZ197" i="1"/>
  <c r="DB104" i="1"/>
  <c r="DE332" i="1"/>
  <c r="DH332" i="1" s="1"/>
  <c r="DE298" i="1"/>
  <c r="DH298" i="1" s="1"/>
  <c r="DA258" i="1"/>
  <c r="DD215" i="1"/>
  <c r="DG215" i="1" s="1"/>
  <c r="DB97" i="1"/>
  <c r="CZ37" i="1"/>
  <c r="DB494" i="1"/>
  <c r="CZ168" i="1"/>
  <c r="DD272" i="1"/>
  <c r="DG272" i="1" s="1"/>
  <c r="DE479" i="1"/>
  <c r="DH479" i="1" s="1"/>
  <c r="DD353" i="1"/>
  <c r="DA207" i="1"/>
  <c r="DC207" i="1" s="1"/>
  <c r="DD12" i="1"/>
  <c r="DG12" i="1" s="1"/>
  <c r="DD409" i="1"/>
  <c r="DG409" i="1" s="1"/>
  <c r="DA277" i="1"/>
  <c r="DB174" i="1"/>
  <c r="DA341" i="1"/>
  <c r="DA339" i="1"/>
  <c r="DB109" i="1"/>
  <c r="DC109" i="1" s="1"/>
  <c r="DB149" i="1"/>
  <c r="DB134" i="1"/>
  <c r="CZ465" i="1"/>
  <c r="DJ69" i="1"/>
  <c r="DE12" i="1"/>
  <c r="DH12" i="1" s="1"/>
  <c r="CZ532" i="1"/>
  <c r="CZ425" i="1"/>
  <c r="DD277" i="1"/>
  <c r="DA285" i="1"/>
  <c r="DE341" i="1"/>
  <c r="DH341" i="1" s="1"/>
  <c r="DE294" i="1"/>
  <c r="DH294" i="1" s="1"/>
  <c r="DE429" i="1"/>
  <c r="DH429" i="1" s="1"/>
  <c r="DA509" i="1"/>
  <c r="DB532" i="1"/>
  <c r="DE179" i="1"/>
  <c r="DH179" i="1" s="1"/>
  <c r="DE455" i="1"/>
  <c r="DH455" i="1" s="1"/>
  <c r="DA331" i="1"/>
  <c r="DD324" i="1"/>
  <c r="DG324" i="1" s="1"/>
  <c r="DB191" i="1"/>
  <c r="CZ288" i="1"/>
  <c r="DB396" i="1"/>
  <c r="CZ358" i="1"/>
  <c r="DA535" i="1"/>
  <c r="DF535" i="1" s="1"/>
  <c r="DA483" i="1"/>
  <c r="CZ6" i="1"/>
  <c r="DB93" i="1"/>
  <c r="DD465" i="1"/>
  <c r="DG465" i="1" s="1"/>
  <c r="DB128" i="1"/>
  <c r="CZ328" i="1"/>
  <c r="CZ313" i="1"/>
  <c r="DB449" i="1"/>
  <c r="DB254" i="1"/>
  <c r="DB245" i="1"/>
  <c r="DD86" i="1"/>
  <c r="DA415" i="1"/>
  <c r="DD124" i="1"/>
  <c r="DG124" i="1" s="1"/>
  <c r="DD239" i="1"/>
  <c r="DG239" i="1" s="1"/>
  <c r="DB528" i="1"/>
  <c r="DF528" i="1" s="1"/>
  <c r="CZ84" i="1"/>
  <c r="DA104" i="1"/>
  <c r="DA97" i="1"/>
  <c r="DB37" i="1"/>
  <c r="DA529" i="1"/>
  <c r="DD441" i="1"/>
  <c r="DG441" i="1" s="1"/>
  <c r="CZ156" i="1"/>
  <c r="DD348" i="1"/>
  <c r="DG348" i="1" s="1"/>
  <c r="CZ109" i="1"/>
  <c r="DE149" i="1"/>
  <c r="DH149" i="1" s="1"/>
  <c r="DA408" i="1"/>
  <c r="CZ67" i="1"/>
  <c r="CZ23" i="1"/>
  <c r="DE425" i="1"/>
  <c r="DH425" i="1" s="1"/>
  <c r="DB509" i="1"/>
  <c r="DA151" i="1"/>
  <c r="CZ155" i="1"/>
  <c r="DE265" i="1"/>
  <c r="DH265" i="1" s="1"/>
  <c r="DE358" i="1"/>
  <c r="DH358" i="1" s="1"/>
  <c r="CZ409" i="1"/>
  <c r="CZ535" i="1"/>
  <c r="CZ408" i="1"/>
  <c r="DE6" i="1"/>
  <c r="DH6" i="1" s="1"/>
  <c r="DB465" i="1"/>
  <c r="DF465" i="1" s="1"/>
  <c r="DB313" i="1"/>
  <c r="DC313" i="1" s="1"/>
  <c r="DE449" i="1"/>
  <c r="DH449" i="1" s="1"/>
  <c r="DD415" i="1"/>
  <c r="DG415" i="1" s="1"/>
  <c r="DB121" i="1"/>
  <c r="DB42" i="1"/>
  <c r="DE528" i="1"/>
  <c r="DH528" i="1" s="1"/>
  <c r="DB84" i="1"/>
  <c r="DD104" i="1"/>
  <c r="DG104" i="1" s="1"/>
  <c r="DE78" i="1"/>
  <c r="DA204" i="1"/>
  <c r="DD395" i="1"/>
  <c r="DE529" i="1"/>
  <c r="DH529" i="1" s="1"/>
  <c r="DE205" i="1"/>
  <c r="DB120" i="1"/>
  <c r="DC120" i="1" s="1"/>
  <c r="CZ33" i="1"/>
  <c r="DA264" i="1"/>
  <c r="CZ140" i="1"/>
  <c r="CZ60" i="1"/>
  <c r="CZ471" i="1"/>
  <c r="DD198" i="1"/>
  <c r="DG198" i="1" s="1"/>
  <c r="DD372" i="1"/>
  <c r="DG372" i="1" s="1"/>
  <c r="DD463" i="1"/>
  <c r="DG463" i="1" s="1"/>
  <c r="DE407" i="1"/>
  <c r="CZ248" i="1"/>
  <c r="DE188" i="1"/>
  <c r="DH188" i="1" s="1"/>
  <c r="DA410" i="1"/>
  <c r="DD354" i="1"/>
  <c r="DG354" i="1" s="1"/>
  <c r="DD28" i="1"/>
  <c r="DG28" i="1" s="1"/>
  <c r="DE517" i="1"/>
  <c r="DH517" i="1" s="1"/>
  <c r="DE527" i="1"/>
  <c r="DH527" i="1" s="1"/>
  <c r="DB487" i="1"/>
  <c r="DE473" i="1"/>
  <c r="DH473" i="1" s="1"/>
  <c r="CZ462" i="1"/>
  <c r="DE371" i="1"/>
  <c r="DB118" i="1"/>
  <c r="DE49" i="1"/>
  <c r="DH49" i="1" s="1"/>
  <c r="DD170" i="1"/>
  <c r="DG170" i="1" s="1"/>
  <c r="CZ42" i="1"/>
  <c r="CZ508" i="1"/>
  <c r="DA200" i="1"/>
  <c r="DA329" i="1"/>
  <c r="CZ233" i="1"/>
  <c r="DA271" i="1"/>
  <c r="DA18" i="1"/>
  <c r="DA62" i="1"/>
  <c r="DB147" i="1"/>
  <c r="DA477" i="1"/>
  <c r="DE171" i="1"/>
  <c r="DB303" i="1"/>
  <c r="DD423" i="1"/>
  <c r="DG423" i="1" s="1"/>
  <c r="DE521" i="1"/>
  <c r="DH521" i="1" s="1"/>
  <c r="DE488" i="1"/>
  <c r="DH488" i="1" s="1"/>
  <c r="DA28" i="1"/>
  <c r="CZ85" i="1"/>
  <c r="DD112" i="1"/>
  <c r="DG112" i="1" s="1"/>
  <c r="DB319" i="1"/>
  <c r="CZ464" i="1"/>
  <c r="DD193" i="1"/>
  <c r="DG193" i="1" s="1"/>
  <c r="DA223" i="1"/>
  <c r="DA226" i="1"/>
  <c r="DC226" i="1" s="1"/>
  <c r="DE198" i="1"/>
  <c r="DH198" i="1" s="1"/>
  <c r="DE372" i="1"/>
  <c r="DH372" i="1" s="1"/>
  <c r="DB383" i="1"/>
  <c r="DA471" i="1"/>
  <c r="DE132" i="1"/>
  <c r="DH132" i="1" s="1"/>
  <c r="DA85" i="1"/>
  <c r="DA248" i="1"/>
  <c r="CZ188" i="1"/>
  <c r="DB410" i="1"/>
  <c r="DE354" i="1"/>
  <c r="DH354" i="1" s="1"/>
  <c r="DE340" i="1"/>
  <c r="DB287" i="1"/>
  <c r="DB33" i="1"/>
  <c r="CZ36" i="1"/>
  <c r="DD527" i="1"/>
  <c r="DG527" i="1" s="1"/>
  <c r="DD487" i="1"/>
  <c r="DG487" i="1" s="1"/>
  <c r="DD473" i="1"/>
  <c r="DG473" i="1" s="1"/>
  <c r="DB462" i="1"/>
  <c r="DE118" i="1"/>
  <c r="DH118" i="1" s="1"/>
  <c r="DB264" i="1"/>
  <c r="DB49" i="1"/>
  <c r="DB170" i="1"/>
  <c r="DC170" i="1" s="1"/>
  <c r="DA42" i="1"/>
  <c r="DA508" i="1"/>
  <c r="DE72" i="1"/>
  <c r="DD329" i="1"/>
  <c r="DG329" i="1" s="1"/>
  <c r="DA233" i="1"/>
  <c r="DB271" i="1"/>
  <c r="DB18" i="1"/>
  <c r="DB62" i="1"/>
  <c r="DD147" i="1"/>
  <c r="DG147" i="1" s="1"/>
  <c r="DB477" i="1"/>
  <c r="DA303" i="1"/>
  <c r="DE423" i="1"/>
  <c r="DH423" i="1" s="1"/>
  <c r="DD521" i="1"/>
  <c r="DG521" i="1" s="1"/>
  <c r="DE223" i="1"/>
  <c r="DH223" i="1" s="1"/>
  <c r="DE42" i="1"/>
  <c r="DH42" i="1" s="1"/>
  <c r="DA203" i="1"/>
  <c r="DE120" i="1"/>
  <c r="DH120" i="1" s="1"/>
  <c r="DD442" i="1"/>
  <c r="DG442" i="1" s="1"/>
  <c r="DB132" i="1"/>
  <c r="DE193" i="1"/>
  <c r="DH193" i="1" s="1"/>
  <c r="DE226" i="1"/>
  <c r="DH226" i="1" s="1"/>
  <c r="DB315" i="1"/>
  <c r="DC315" i="1" s="1"/>
  <c r="DD391" i="1"/>
  <c r="DG391" i="1" s="1"/>
  <c r="DD60" i="1"/>
  <c r="DG60" i="1" s="1"/>
  <c r="DE420" i="1"/>
  <c r="DH420" i="1" s="1"/>
  <c r="DD209" i="1"/>
  <c r="DG209" i="1" s="1"/>
  <c r="DB203" i="1"/>
  <c r="DD157" i="1"/>
  <c r="DG157" i="1" s="1"/>
  <c r="CZ63" i="1"/>
  <c r="DA106" i="1"/>
  <c r="DB85" i="1"/>
  <c r="DB112" i="1"/>
  <c r="CZ447" i="1"/>
  <c r="DB157" i="1"/>
  <c r="DC157" i="1" s="1"/>
  <c r="DD346" i="1"/>
  <c r="DG346" i="1" s="1"/>
  <c r="DA398" i="1"/>
  <c r="DD33" i="1"/>
  <c r="DG33" i="1" s="1"/>
  <c r="DE83" i="1"/>
  <c r="DH83" i="1" s="1"/>
  <c r="DB493" i="1"/>
  <c r="DF493" i="1" s="1"/>
  <c r="DB475" i="1"/>
  <c r="DA49" i="1"/>
  <c r="DD59" i="1"/>
  <c r="DA123" i="1"/>
  <c r="DE462" i="1"/>
  <c r="DB442" i="1"/>
  <c r="DE262" i="1"/>
  <c r="DH262" i="1" s="1"/>
  <c r="DD264" i="1"/>
  <c r="DB407" i="1"/>
  <c r="DE378" i="1"/>
  <c r="DH378" i="1" s="1"/>
  <c r="DA20" i="1"/>
  <c r="DE233" i="1"/>
  <c r="DD319" i="1"/>
  <c r="DG319" i="1" s="1"/>
  <c r="DD180" i="1"/>
  <c r="DG180" i="1" s="1"/>
  <c r="DE511" i="1"/>
  <c r="DH511" i="1" s="1"/>
  <c r="CZ278" i="1"/>
  <c r="DD278" i="1"/>
  <c r="DG278" i="1" s="1"/>
  <c r="CZ488" i="1"/>
  <c r="DD248" i="1"/>
  <c r="DG248" i="1" s="1"/>
  <c r="CZ398" i="1"/>
  <c r="DE62" i="1"/>
  <c r="DH62" i="1" s="1"/>
  <c r="DB508" i="1"/>
  <c r="DD63" i="1"/>
  <c r="DG63" i="1" s="1"/>
  <c r="CZ250" i="1"/>
  <c r="DB257" i="1"/>
  <c r="DE315" i="1"/>
  <c r="DH315" i="1" s="1"/>
  <c r="DE391" i="1"/>
  <c r="DH391" i="1" s="1"/>
  <c r="DA420" i="1"/>
  <c r="DC420" i="1" s="1"/>
  <c r="DB209" i="1"/>
  <c r="DE203" i="1"/>
  <c r="DH203" i="1" s="1"/>
  <c r="DD250" i="1"/>
  <c r="DA464" i="1"/>
  <c r="DE63" i="1"/>
  <c r="DH63" i="1" s="1"/>
  <c r="DD106" i="1"/>
  <c r="CZ112" i="1"/>
  <c r="DA374" i="1"/>
  <c r="DD447" i="1"/>
  <c r="DG447" i="1" s="1"/>
  <c r="DE157" i="1"/>
  <c r="DH157" i="1" s="1"/>
  <c r="DB346" i="1"/>
  <c r="DB398" i="1"/>
  <c r="DD493" i="1"/>
  <c r="DG493" i="1" s="1"/>
  <c r="DD475" i="1"/>
  <c r="DG475" i="1" s="1"/>
  <c r="CZ518" i="1"/>
  <c r="DE280" i="1"/>
  <c r="DH280" i="1" s="1"/>
  <c r="DA59" i="1"/>
  <c r="DD30" i="1"/>
  <c r="DG30" i="1" s="1"/>
  <c r="DD123" i="1"/>
  <c r="DE75" i="1"/>
  <c r="DH75" i="1" s="1"/>
  <c r="DE442" i="1"/>
  <c r="DH442" i="1" s="1"/>
  <c r="CZ118" i="1"/>
  <c r="DD378" i="1"/>
  <c r="DG378" i="1" s="1"/>
  <c r="DB194" i="1"/>
  <c r="DB20" i="1"/>
  <c r="DA150" i="1"/>
  <c r="DE319" i="1"/>
  <c r="DH319" i="1" s="1"/>
  <c r="CZ419" i="1"/>
  <c r="CZ147" i="1"/>
  <c r="DD511" i="1"/>
  <c r="DG511" i="1" s="1"/>
  <c r="CZ423" i="1"/>
  <c r="DA171" i="1"/>
  <c r="DB278" i="1"/>
  <c r="CZ521" i="1"/>
  <c r="DA488" i="1"/>
  <c r="DB193" i="1"/>
  <c r="DB518" i="1"/>
  <c r="DA405" i="1"/>
  <c r="CZ315" i="1"/>
  <c r="DA198" i="1"/>
  <c r="DA372" i="1"/>
  <c r="DB52" i="1"/>
  <c r="DB250" i="1"/>
  <c r="DB464" i="1"/>
  <c r="DF464" i="1" s="1"/>
  <c r="DA371" i="1"/>
  <c r="DA518" i="1"/>
  <c r="CZ123" i="1"/>
  <c r="DA63" i="1"/>
  <c r="DE112" i="1"/>
  <c r="DH112" i="1" s="1"/>
  <c r="DE410" i="1"/>
  <c r="DH410" i="1" s="1"/>
  <c r="CZ354" i="1"/>
  <c r="DE398" i="1"/>
  <c r="DH398" i="1" s="1"/>
  <c r="CZ28" i="1"/>
  <c r="CZ527" i="1"/>
  <c r="CZ487" i="1"/>
  <c r="DB473" i="1"/>
  <c r="DF473" i="1" s="1"/>
  <c r="DD518" i="1"/>
  <c r="DG518" i="1" s="1"/>
  <c r="DA442" i="1"/>
  <c r="DB123" i="1"/>
  <c r="DB371" i="1"/>
  <c r="DA118" i="1"/>
  <c r="DD49" i="1"/>
  <c r="DG49" i="1" s="1"/>
  <c r="CZ170" i="1"/>
  <c r="DB329" i="1"/>
  <c r="DD20" i="1"/>
  <c r="DG20" i="1" s="1"/>
  <c r="DB150" i="1"/>
  <c r="DE147" i="1"/>
  <c r="DH147" i="1" s="1"/>
  <c r="CZ477" i="1"/>
  <c r="CZ171" i="1"/>
  <c r="DB171" i="1"/>
  <c r="DA521" i="1"/>
  <c r="DF521" i="1" s="1"/>
  <c r="DB488" i="1"/>
  <c r="CZ157" i="1"/>
  <c r="DE493" i="1"/>
  <c r="DH493" i="1" s="1"/>
  <c r="CZ224" i="1"/>
  <c r="DD164" i="1"/>
  <c r="DG164" i="1" s="1"/>
  <c r="DA83" i="1"/>
  <c r="CZ52" i="1"/>
  <c r="DB21" i="1"/>
  <c r="DB198" i="1"/>
  <c r="DB372" i="1"/>
  <c r="DE464" i="1"/>
  <c r="DH464" i="1" s="1"/>
  <c r="DE96" i="1"/>
  <c r="DH96" i="1" s="1"/>
  <c r="DB188" i="1"/>
  <c r="DC188" i="1" s="1"/>
  <c r="DB354" i="1"/>
  <c r="DC354" i="1" s="1"/>
  <c r="DE28" i="1"/>
  <c r="DH28" i="1" s="1"/>
  <c r="DE469" i="1"/>
  <c r="DH469" i="1" s="1"/>
  <c r="DA487" i="1"/>
  <c r="CZ473" i="1"/>
  <c r="DA307" i="1"/>
  <c r="CZ79" i="1"/>
  <c r="DE486" i="1"/>
  <c r="DH486" i="1" s="1"/>
  <c r="CZ200" i="1"/>
  <c r="DE20" i="1"/>
  <c r="DH20" i="1" s="1"/>
  <c r="DD379" i="1"/>
  <c r="DG379" i="1" s="1"/>
  <c r="DD89" i="1"/>
  <c r="DG89" i="1" s="1"/>
  <c r="DD381" i="1"/>
  <c r="DG381" i="1" s="1"/>
  <c r="DE29" i="1"/>
  <c r="DH29" i="1" s="1"/>
  <c r="DD8" i="1"/>
  <c r="DG8" i="1" s="1"/>
  <c r="DB46" i="1"/>
  <c r="DA253" i="1"/>
  <c r="DA181" i="1"/>
  <c r="DD136" i="1"/>
  <c r="DG136" i="1" s="1"/>
  <c r="DD382" i="1"/>
  <c r="DB273" i="1"/>
  <c r="DB451" i="1"/>
  <c r="DD503" i="1"/>
  <c r="DG503" i="1" s="1"/>
  <c r="CZ108" i="1"/>
  <c r="CZ299" i="1"/>
  <c r="CZ258" i="1"/>
  <c r="DD27" i="1"/>
  <c r="DG27" i="1" s="1"/>
  <c r="CZ238" i="1"/>
  <c r="DA238" i="1"/>
  <c r="DA54" i="1"/>
  <c r="DE472" i="1"/>
  <c r="DH472" i="1" s="1"/>
  <c r="DE51" i="1"/>
  <c r="DH51" i="1" s="1"/>
  <c r="DB292" i="1"/>
  <c r="DC292" i="1" s="1"/>
  <c r="DD363" i="1"/>
  <c r="DG363" i="1" s="1"/>
  <c r="DB342" i="1"/>
  <c r="DC342" i="1" s="1"/>
  <c r="DE102" i="1"/>
  <c r="DH102" i="1" s="1"/>
  <c r="DB522" i="1"/>
  <c r="DB463" i="1"/>
  <c r="DJ414" i="1"/>
  <c r="DA235" i="1"/>
  <c r="DE292" i="1"/>
  <c r="DH292" i="1" s="1"/>
  <c r="DA125" i="1"/>
  <c r="DD211" i="1"/>
  <c r="DA363" i="1"/>
  <c r="DD172" i="1"/>
  <c r="DG172" i="1" s="1"/>
  <c r="CZ89" i="1"/>
  <c r="CZ235" i="1"/>
  <c r="CZ29" i="1"/>
  <c r="CZ364" i="1"/>
  <c r="DE8" i="1"/>
  <c r="DH8" i="1" s="1"/>
  <c r="DD46" i="1"/>
  <c r="DG46" i="1" s="1"/>
  <c r="CZ370" i="1"/>
  <c r="DE22" i="1"/>
  <c r="DH22" i="1" s="1"/>
  <c r="DA75" i="1"/>
  <c r="DC75" i="1" s="1"/>
  <c r="DE243" i="1"/>
  <c r="CZ181" i="1"/>
  <c r="DE136" i="1"/>
  <c r="DH136" i="1" s="1"/>
  <c r="DB382" i="1"/>
  <c r="CZ437" i="1"/>
  <c r="DE121" i="1"/>
  <c r="DH121" i="1" s="1"/>
  <c r="DD273" i="1"/>
  <c r="DG273" i="1" s="1"/>
  <c r="DE451" i="1"/>
  <c r="DH451" i="1" s="1"/>
  <c r="DE503" i="1"/>
  <c r="DH503" i="1" s="1"/>
  <c r="CZ58" i="1"/>
  <c r="DB108" i="1"/>
  <c r="DB332" i="1"/>
  <c r="DA299" i="1"/>
  <c r="DB258" i="1"/>
  <c r="CZ350" i="1"/>
  <c r="DE27" i="1"/>
  <c r="DH27" i="1" s="1"/>
  <c r="DB520" i="1"/>
  <c r="DF520" i="1" s="1"/>
  <c r="DB238" i="1"/>
  <c r="DD110" i="1"/>
  <c r="DG110" i="1" s="1"/>
  <c r="DB54" i="1"/>
  <c r="DD472" i="1"/>
  <c r="DG472" i="1" s="1"/>
  <c r="DD312" i="1"/>
  <c r="DG312" i="1" s="1"/>
  <c r="DD482" i="1"/>
  <c r="DG482" i="1" s="1"/>
  <c r="DD292" i="1"/>
  <c r="DG292" i="1" s="1"/>
  <c r="CZ211" i="1"/>
  <c r="DB363" i="1"/>
  <c r="CZ11" i="1"/>
  <c r="DE89" i="1"/>
  <c r="DH89" i="1" s="1"/>
  <c r="DB235" i="1"/>
  <c r="DA29" i="1"/>
  <c r="DB364" i="1"/>
  <c r="DC364" i="1" s="1"/>
  <c r="DA534" i="1"/>
  <c r="CZ512" i="1"/>
  <c r="CZ88" i="1"/>
  <c r="DD181" i="1"/>
  <c r="DD437" i="1"/>
  <c r="DE273" i="1"/>
  <c r="DH273" i="1" s="1"/>
  <c r="DE91" i="1"/>
  <c r="DH91" i="1" s="1"/>
  <c r="DB58" i="1"/>
  <c r="DA108" i="1"/>
  <c r="DB299" i="1"/>
  <c r="DD258" i="1"/>
  <c r="DA350" i="1"/>
  <c r="DD238" i="1"/>
  <c r="DG238" i="1" s="1"/>
  <c r="DD54" i="1"/>
  <c r="DG54" i="1" s="1"/>
  <c r="DB472" i="1"/>
  <c r="DA51" i="1"/>
  <c r="DC51" i="1" s="1"/>
  <c r="DA451" i="1"/>
  <c r="DD445" i="1"/>
  <c r="DG445" i="1" s="1"/>
  <c r="DA143" i="1"/>
  <c r="DA102" i="1"/>
  <c r="DD411" i="1"/>
  <c r="DG411" i="1" s="1"/>
  <c r="DA312" i="1"/>
  <c r="DD44" i="1"/>
  <c r="DG44" i="1" s="1"/>
  <c r="DA370" i="1"/>
  <c r="DA482" i="1"/>
  <c r="DA11" i="1"/>
  <c r="DC11" i="1" s="1"/>
  <c r="DB214" i="1"/>
  <c r="CZ292" i="1"/>
  <c r="DB211" i="1"/>
  <c r="DE363" i="1"/>
  <c r="DH363" i="1" s="1"/>
  <c r="DD11" i="1"/>
  <c r="DG11" i="1" s="1"/>
  <c r="DD235" i="1"/>
  <c r="DB29" i="1"/>
  <c r="DE364" i="1"/>
  <c r="DH364" i="1" s="1"/>
  <c r="DB534" i="1"/>
  <c r="DB512" i="1"/>
  <c r="DF512" i="1" s="1"/>
  <c r="DD88" i="1"/>
  <c r="DG88" i="1" s="1"/>
  <c r="DB437" i="1"/>
  <c r="CZ91" i="1"/>
  <c r="DA58" i="1"/>
  <c r="DC58" i="1" s="1"/>
  <c r="DB25" i="1"/>
  <c r="DD108" i="1"/>
  <c r="DD299" i="1"/>
  <c r="DB350" i="1"/>
  <c r="CZ61" i="1"/>
  <c r="DB445" i="1"/>
  <c r="DB143" i="1"/>
  <c r="DD61" i="1"/>
  <c r="DG61" i="1" s="1"/>
  <c r="DB102" i="1"/>
  <c r="DA411" i="1"/>
  <c r="DB312" i="1"/>
  <c r="DA44" i="1"/>
  <c r="DB370" i="1"/>
  <c r="DD505" i="1"/>
  <c r="DG505" i="1" s="1"/>
  <c r="DB482" i="1"/>
  <c r="DA214" i="1"/>
  <c r="DE11" i="1"/>
  <c r="DH11" i="1" s="1"/>
  <c r="DD364" i="1"/>
  <c r="DG364" i="1" s="1"/>
  <c r="CZ534" i="1"/>
  <c r="DE512" i="1"/>
  <c r="DH512" i="1" s="1"/>
  <c r="DB88" i="1"/>
  <c r="DA437" i="1"/>
  <c r="DC437" i="1" s="1"/>
  <c r="DA88" i="1"/>
  <c r="DD91" i="1"/>
  <c r="DG91" i="1" s="1"/>
  <c r="DD58" i="1"/>
  <c r="CZ25" i="1"/>
  <c r="DD350" i="1"/>
  <c r="DG350" i="1" s="1"/>
  <c r="CZ227" i="1"/>
  <c r="DA227" i="1"/>
  <c r="DA211" i="1"/>
  <c r="DE445" i="1"/>
  <c r="DH445" i="1" s="1"/>
  <c r="CZ51" i="1"/>
  <c r="CZ342" i="1"/>
  <c r="DD143" i="1"/>
  <c r="DE61" i="1"/>
  <c r="DH61" i="1" s="1"/>
  <c r="DB411" i="1"/>
  <c r="DE312" i="1"/>
  <c r="DH312" i="1" s="1"/>
  <c r="DB44" i="1"/>
  <c r="DE370" i="1"/>
  <c r="DH370" i="1" s="1"/>
  <c r="DA505" i="1"/>
  <c r="DE482" i="1"/>
  <c r="DH482" i="1" s="1"/>
  <c r="DE214" i="1"/>
  <c r="DA172" i="1"/>
  <c r="DC172" i="1" s="1"/>
  <c r="CZ381" i="1"/>
  <c r="DA287" i="1"/>
  <c r="DA8" i="1"/>
  <c r="CZ83" i="1"/>
  <c r="DB483" i="1"/>
  <c r="DD534" i="1"/>
  <c r="DG534" i="1" s="1"/>
  <c r="CZ46" i="1"/>
  <c r="DD512" i="1"/>
  <c r="DG512" i="1" s="1"/>
  <c r="DB253" i="1"/>
  <c r="DB91" i="1"/>
  <c r="DB503" i="1"/>
  <c r="DA25" i="1"/>
  <c r="DB227" i="1"/>
  <c r="DE411" i="1"/>
  <c r="DH411" i="1" s="1"/>
  <c r="DE44" i="1"/>
  <c r="DH44" i="1" s="1"/>
  <c r="DB505" i="1"/>
  <c r="DB136" i="1"/>
  <c r="DC136" i="1" s="1"/>
  <c r="CZ54" i="1"/>
  <c r="CZ27" i="1"/>
  <c r="DA526" i="1"/>
  <c r="DB22" i="1"/>
  <c r="CZ307" i="1"/>
  <c r="DA206" i="1"/>
  <c r="DA142" i="1"/>
  <c r="DJ244" i="1"/>
  <c r="DJ26" i="1"/>
  <c r="DJ362" i="1"/>
  <c r="DJ352" i="1"/>
  <c r="DE306" i="1"/>
  <c r="DH306" i="1" s="1"/>
  <c r="DE405" i="1"/>
  <c r="DH405" i="1" s="1"/>
  <c r="DD133" i="1"/>
  <c r="CZ178" i="1"/>
  <c r="DA131" i="1"/>
  <c r="DC131" i="1" s="1"/>
  <c r="DA182" i="1"/>
  <c r="DB110" i="1"/>
  <c r="DB205" i="1"/>
  <c r="CZ510" i="1"/>
  <c r="DE178" i="1"/>
  <c r="DH178" i="1" s="1"/>
  <c r="DE131" i="1"/>
  <c r="DH131" i="1" s="1"/>
  <c r="DD293" i="1"/>
  <c r="DA17" i="1"/>
  <c r="CZ530" i="1"/>
  <c r="DA129" i="1"/>
  <c r="DA293" i="1"/>
  <c r="DJ275" i="1"/>
  <c r="DJ501" i="1"/>
  <c r="DA22" i="1"/>
  <c r="CZ334" i="1"/>
  <c r="CZ7" i="1"/>
  <c r="DB530" i="1"/>
  <c r="DB206" i="1"/>
  <c r="DB129" i="1"/>
  <c r="DE164" i="1"/>
  <c r="DH164" i="1" s="1"/>
  <c r="DA283" i="1"/>
  <c r="CZ243" i="1"/>
  <c r="CZ138" i="1"/>
  <c r="DA425" i="1"/>
  <c r="DC425" i="1" s="1"/>
  <c r="DD67" i="1"/>
  <c r="DA21" i="1"/>
  <c r="DE383" i="1"/>
  <c r="DH383" i="1" s="1"/>
  <c r="DE52" i="1"/>
  <c r="DH52" i="1" s="1"/>
  <c r="DD330" i="1"/>
  <c r="DG330" i="1" s="1"/>
  <c r="DD339" i="1"/>
  <c r="DG339" i="1" s="1"/>
  <c r="DD509" i="1"/>
  <c r="DG509" i="1" s="1"/>
  <c r="DA250" i="1"/>
  <c r="DA463" i="1"/>
  <c r="CZ106" i="1"/>
  <c r="DD151" i="1"/>
  <c r="DG151" i="1" s="1"/>
  <c r="DB125" i="1"/>
  <c r="DE374" i="1"/>
  <c r="DH374" i="1" s="1"/>
  <c r="DE98" i="1"/>
  <c r="DH98" i="1" s="1"/>
  <c r="DD96" i="1"/>
  <c r="DG96" i="1" s="1"/>
  <c r="DD120" i="1"/>
  <c r="DG120" i="1" s="1"/>
  <c r="DD517" i="1"/>
  <c r="DG517" i="1" s="1"/>
  <c r="CZ483" i="1"/>
  <c r="CZ469" i="1"/>
  <c r="DD93" i="1"/>
  <c r="DG93" i="1" s="1"/>
  <c r="DD280" i="1"/>
  <c r="DG280" i="1" s="1"/>
  <c r="DA30" i="1"/>
  <c r="CZ86" i="1"/>
  <c r="DB283" i="1"/>
  <c r="DD121" i="1"/>
  <c r="DG121" i="1" s="1"/>
  <c r="DA133" i="1"/>
  <c r="DA197" i="1"/>
  <c r="DD486" i="1"/>
  <c r="DG486" i="1" s="1"/>
  <c r="CZ302" i="1"/>
  <c r="CZ507" i="1"/>
  <c r="DB200" i="1"/>
  <c r="CZ194" i="1"/>
  <c r="DD332" i="1"/>
  <c r="DG332" i="1" s="1"/>
  <c r="DD131" i="1"/>
  <c r="DG131" i="1" s="1"/>
  <c r="DE379" i="1"/>
  <c r="DH379" i="1" s="1"/>
  <c r="CZ18" i="1"/>
  <c r="DA37" i="1"/>
  <c r="DA457" i="1"/>
  <c r="DE180" i="1"/>
  <c r="DH180" i="1" s="1"/>
  <c r="DD520" i="1"/>
  <c r="DG520" i="1" s="1"/>
  <c r="DD129" i="1"/>
  <c r="DG129" i="1" s="1"/>
  <c r="DD529" i="1"/>
  <c r="DG529" i="1" s="1"/>
  <c r="CZ531" i="1"/>
  <c r="DE110" i="1"/>
  <c r="DH110" i="1" s="1"/>
  <c r="DB197" i="1"/>
  <c r="DD531" i="1"/>
  <c r="DG531" i="1" s="1"/>
  <c r="DA281" i="1"/>
  <c r="DD197" i="1"/>
  <c r="DG197" i="1" s="1"/>
  <c r="DA224" i="1"/>
  <c r="DA459" i="1"/>
  <c r="DD195" i="1"/>
  <c r="DG195" i="1" s="1"/>
  <c r="DD425" i="1"/>
  <c r="DG425" i="1" s="1"/>
  <c r="DB67" i="1"/>
  <c r="DD21" i="1"/>
  <c r="DG21" i="1" s="1"/>
  <c r="DD23" i="1"/>
  <c r="DB330" i="1"/>
  <c r="DE339" i="1"/>
  <c r="DH339" i="1" s="1"/>
  <c r="DE509" i="1"/>
  <c r="DH509" i="1" s="1"/>
  <c r="DE463" i="1"/>
  <c r="DH463" i="1" s="1"/>
  <c r="CZ125" i="1"/>
  <c r="DB353" i="1"/>
  <c r="DD265" i="1"/>
  <c r="DG265" i="1" s="1"/>
  <c r="DD288" i="1"/>
  <c r="DG288" i="1" s="1"/>
  <c r="DA306" i="1"/>
  <c r="CZ160" i="1"/>
  <c r="DE376" i="1"/>
  <c r="DB405" i="1"/>
  <c r="DE483" i="1"/>
  <c r="DH483" i="1" s="1"/>
  <c r="DD469" i="1"/>
  <c r="DG469" i="1" s="1"/>
  <c r="DB478" i="1"/>
  <c r="DF478" i="1" s="1"/>
  <c r="CZ280" i="1"/>
  <c r="DE30" i="1"/>
  <c r="DH30" i="1" s="1"/>
  <c r="DB228" i="1"/>
  <c r="CZ338" i="1"/>
  <c r="DB86" i="1"/>
  <c r="CZ229" i="1"/>
  <c r="DA127" i="1"/>
  <c r="DC127" i="1" s="1"/>
  <c r="DB7" i="1"/>
  <c r="DC7" i="1" s="1"/>
  <c r="DB224" i="1"/>
  <c r="DB79" i="1"/>
  <c r="CZ441" i="1"/>
  <c r="DB133" i="1"/>
  <c r="CZ516" i="1"/>
  <c r="DB470" i="1"/>
  <c r="DB70" i="1"/>
  <c r="DD200" i="1"/>
  <c r="DA194" i="1"/>
  <c r="CZ310" i="1"/>
  <c r="DB302" i="1"/>
  <c r="DD18" i="1"/>
  <c r="DD37" i="1"/>
  <c r="DG37" i="1" s="1"/>
  <c r="DD457" i="1"/>
  <c r="DD419" i="1"/>
  <c r="CZ119" i="1"/>
  <c r="DE520" i="1"/>
  <c r="DH520" i="1" s="1"/>
  <c r="DB529" i="1"/>
  <c r="DA531" i="1"/>
  <c r="CZ526" i="1"/>
  <c r="DB526" i="1"/>
  <c r="DD281" i="1"/>
  <c r="DG281" i="1" s="1"/>
  <c r="DD504" i="1"/>
  <c r="DG504" i="1" s="1"/>
  <c r="DA195" i="1"/>
  <c r="CZ322" i="1"/>
  <c r="DE21" i="1"/>
  <c r="DH21" i="1" s="1"/>
  <c r="DA256" i="1"/>
  <c r="DC256" i="1" s="1"/>
  <c r="DA23" i="1"/>
  <c r="DE330" i="1"/>
  <c r="DH330" i="1" s="1"/>
  <c r="DD515" i="1"/>
  <c r="DG515" i="1" s="1"/>
  <c r="DD366" i="1"/>
  <c r="DG366" i="1" s="1"/>
  <c r="DD490" i="1"/>
  <c r="DG490" i="1" s="1"/>
  <c r="DD125" i="1"/>
  <c r="DA155" i="1"/>
  <c r="CZ265" i="1"/>
  <c r="DB288" i="1"/>
  <c r="DC288" i="1" s="1"/>
  <c r="CZ306" i="1"/>
  <c r="DB160" i="1"/>
  <c r="DC160" i="1" s="1"/>
  <c r="DA340" i="1"/>
  <c r="CZ376" i="1"/>
  <c r="DD405" i="1"/>
  <c r="DG405" i="1" s="1"/>
  <c r="DB476" i="1"/>
  <c r="CZ478" i="1"/>
  <c r="DA156" i="1"/>
  <c r="CZ99" i="1"/>
  <c r="DD228" i="1"/>
  <c r="DA338" i="1"/>
  <c r="DA229" i="1"/>
  <c r="DD127" i="1"/>
  <c r="DG127" i="1" s="1"/>
  <c r="DD7" i="1"/>
  <c r="DG7" i="1" s="1"/>
  <c r="DD224" i="1"/>
  <c r="DA79" i="1"/>
  <c r="DB441" i="1"/>
  <c r="DC441" i="1" s="1"/>
  <c r="DD516" i="1"/>
  <c r="DG516" i="1" s="1"/>
  <c r="DE459" i="1"/>
  <c r="DH459" i="1" s="1"/>
  <c r="CZ470" i="1"/>
  <c r="DA70" i="1"/>
  <c r="CZ72" i="1"/>
  <c r="DD194" i="1"/>
  <c r="CZ78" i="1"/>
  <c r="DB310" i="1"/>
  <c r="DA302" i="1"/>
  <c r="DB419" i="1"/>
  <c r="DB119" i="1"/>
  <c r="DD454" i="1"/>
  <c r="DG454" i="1" s="1"/>
  <c r="DD507" i="1"/>
  <c r="DG507" i="1" s="1"/>
  <c r="DB531" i="1"/>
  <c r="DA71" i="1"/>
  <c r="DD526" i="1"/>
  <c r="DG526" i="1" s="1"/>
  <c r="DE281" i="1"/>
  <c r="DH281" i="1" s="1"/>
  <c r="DB195" i="1"/>
  <c r="DA322" i="1"/>
  <c r="CZ460" i="1"/>
  <c r="DD257" i="1"/>
  <c r="DG257" i="1" s="1"/>
  <c r="DE138" i="1"/>
  <c r="DD256" i="1"/>
  <c r="DG256" i="1" s="1"/>
  <c r="DB23" i="1"/>
  <c r="DA515" i="1"/>
  <c r="DA366" i="1"/>
  <c r="DA490" i="1"/>
  <c r="DA228" i="1"/>
  <c r="DD374" i="1"/>
  <c r="DG374" i="1" s="1"/>
  <c r="DD155" i="1"/>
  <c r="DG155" i="1" s="1"/>
  <c r="DB265" i="1"/>
  <c r="DC265" i="1" s="1"/>
  <c r="DE288" i="1"/>
  <c r="DH288" i="1" s="1"/>
  <c r="DD160" i="1"/>
  <c r="DG160" i="1" s="1"/>
  <c r="CZ340" i="1"/>
  <c r="DA376" i="1"/>
  <c r="DB284" i="1"/>
  <c r="DA476" i="1"/>
  <c r="DE93" i="1"/>
  <c r="DH93" i="1" s="1"/>
  <c r="DD478" i="1"/>
  <c r="DG478" i="1" s="1"/>
  <c r="DB156" i="1"/>
  <c r="DB99" i="1"/>
  <c r="DB338" i="1"/>
  <c r="CZ262" i="1"/>
  <c r="DD229" i="1"/>
  <c r="CZ145" i="1"/>
  <c r="DE127" i="1"/>
  <c r="DH127" i="1" s="1"/>
  <c r="DD79" i="1"/>
  <c r="DE441" i="1"/>
  <c r="DH441" i="1" s="1"/>
  <c r="DE516" i="1"/>
  <c r="DH516" i="1" s="1"/>
  <c r="CZ459" i="1"/>
  <c r="CZ504" i="1"/>
  <c r="DA470" i="1"/>
  <c r="DA419" i="1"/>
  <c r="CZ293" i="1"/>
  <c r="DD70" i="1"/>
  <c r="DB72" i="1"/>
  <c r="DA84" i="1"/>
  <c r="DA78" i="1"/>
  <c r="DA310" i="1"/>
  <c r="DD150" i="1"/>
  <c r="DD302" i="1"/>
  <c r="DB215" i="1"/>
  <c r="DB180" i="1"/>
  <c r="DC180" i="1" s="1"/>
  <c r="DA119" i="1"/>
  <c r="DA454" i="1"/>
  <c r="DD499" i="1"/>
  <c r="DG499" i="1" s="1"/>
  <c r="DA507" i="1"/>
  <c r="DA510" i="1"/>
  <c r="DB95" i="1"/>
  <c r="DB71" i="1"/>
  <c r="DB182" i="1"/>
  <c r="DD208" i="1"/>
  <c r="DB293" i="1"/>
  <c r="DE510" i="1"/>
  <c r="DH510" i="1" s="1"/>
  <c r="DB164" i="1"/>
  <c r="DE195" i="1"/>
  <c r="DH195" i="1" s="1"/>
  <c r="DB322" i="1"/>
  <c r="DB460" i="1"/>
  <c r="DE257" i="1"/>
  <c r="DH257" i="1" s="1"/>
  <c r="DA138" i="1"/>
  <c r="DE256" i="1"/>
  <c r="DH256" i="1" s="1"/>
  <c r="DA383" i="1"/>
  <c r="DD52" i="1"/>
  <c r="DG52" i="1" s="1"/>
  <c r="DB515" i="1"/>
  <c r="DB366" i="1"/>
  <c r="DB490" i="1"/>
  <c r="DA284" i="1"/>
  <c r="DB151" i="1"/>
  <c r="DB374" i="1"/>
  <c r="DE155" i="1"/>
  <c r="DH155" i="1" s="1"/>
  <c r="CZ98" i="1"/>
  <c r="DA96" i="1"/>
  <c r="DE160" i="1"/>
  <c r="DH160" i="1" s="1"/>
  <c r="DB340" i="1"/>
  <c r="DB376" i="1"/>
  <c r="CZ284" i="1"/>
  <c r="CZ120" i="1"/>
  <c r="CZ517" i="1"/>
  <c r="CZ476" i="1"/>
  <c r="CZ93" i="1"/>
  <c r="DE478" i="1"/>
  <c r="DH478" i="1" s="1"/>
  <c r="DD156" i="1"/>
  <c r="DD99" i="1"/>
  <c r="DG99" i="1" s="1"/>
  <c r="DB243" i="1"/>
  <c r="DD338" i="1"/>
  <c r="DD262" i="1"/>
  <c r="DG262" i="1" s="1"/>
  <c r="DB229" i="1"/>
  <c r="DB145" i="1"/>
  <c r="CZ121" i="1"/>
  <c r="DB516" i="1"/>
  <c r="DF516" i="1" s="1"/>
  <c r="DD459" i="1"/>
  <c r="DG459" i="1" s="1"/>
  <c r="DE504" i="1"/>
  <c r="DH504" i="1" s="1"/>
  <c r="DE470" i="1"/>
  <c r="DH470" i="1" s="1"/>
  <c r="DA72" i="1"/>
  <c r="DD105" i="1"/>
  <c r="DG105" i="1" s="1"/>
  <c r="DB78" i="1"/>
  <c r="DA332" i="1"/>
  <c r="DD310" i="1"/>
  <c r="DB379" i="1"/>
  <c r="CZ180" i="1"/>
  <c r="DE119" i="1"/>
  <c r="DE454" i="1"/>
  <c r="DH454" i="1" s="1"/>
  <c r="DB507" i="1"/>
  <c r="DF507" i="1" s="1"/>
  <c r="DD71" i="1"/>
  <c r="DD182" i="1"/>
  <c r="DA205" i="1"/>
  <c r="CZ480" i="1"/>
  <c r="DE322" i="1"/>
  <c r="CZ71" i="1"/>
  <c r="DA164" i="1"/>
  <c r="DA145" i="1"/>
  <c r="DA504" i="1"/>
  <c r="DF504" i="1" s="1"/>
  <c r="CZ257" i="1"/>
  <c r="DD460" i="1"/>
  <c r="DG460" i="1" s="1"/>
  <c r="DD223" i="1"/>
  <c r="DG223" i="1" s="1"/>
  <c r="DB138" i="1"/>
  <c r="DD383" i="1"/>
  <c r="DG383" i="1" s="1"/>
  <c r="DE515" i="1"/>
  <c r="DH515" i="1" s="1"/>
  <c r="DE366" i="1"/>
  <c r="DH366" i="1" s="1"/>
  <c r="DE490" i="1"/>
  <c r="DH490" i="1" s="1"/>
  <c r="DB106" i="1"/>
  <c r="DE447" i="1"/>
  <c r="DH447" i="1" s="1"/>
  <c r="DB96" i="1"/>
  <c r="DB358" i="1"/>
  <c r="DB517" i="1"/>
  <c r="DF517" i="1" s="1"/>
  <c r="DE535" i="1"/>
  <c r="DH535" i="1" s="1"/>
  <c r="DB36" i="1"/>
  <c r="DE99" i="1"/>
  <c r="DH99" i="1" s="1"/>
  <c r="DA243" i="1"/>
  <c r="DB262" i="1"/>
  <c r="DC262" i="1" s="1"/>
  <c r="DB334" i="1"/>
  <c r="CZ129" i="1"/>
  <c r="DE105" i="1"/>
  <c r="DH105" i="1" s="1"/>
  <c r="DA379" i="1"/>
  <c r="DE215" i="1"/>
  <c r="DH215" i="1" s="1"/>
  <c r="DB454" i="1"/>
  <c r="DE499" i="1"/>
  <c r="DH499" i="1" s="1"/>
  <c r="DD306" i="1"/>
  <c r="DG306" i="1" s="1"/>
  <c r="DE287" i="1"/>
  <c r="DE36" i="1"/>
  <c r="DH36" i="1" s="1"/>
  <c r="CZ75" i="1"/>
  <c r="DE334" i="1"/>
  <c r="DE7" i="1"/>
  <c r="DH7" i="1" s="1"/>
  <c r="DD17" i="1"/>
  <c r="DG17" i="1" s="1"/>
  <c r="DE530" i="1"/>
  <c r="DH530" i="1" s="1"/>
  <c r="DB105" i="1"/>
  <c r="DB178" i="1"/>
  <c r="DC178" i="1" s="1"/>
  <c r="CZ131" i="1"/>
  <c r="DB142" i="1"/>
  <c r="DD75" i="1"/>
  <c r="DG75" i="1" s="1"/>
  <c r="DD307" i="1"/>
  <c r="DE17" i="1"/>
  <c r="DH17" i="1" s="1"/>
  <c r="CZ133" i="1"/>
  <c r="CZ182" i="1"/>
  <c r="CZ206" i="1"/>
  <c r="DA105" i="1"/>
  <c r="DD178" i="1"/>
  <c r="DG178" i="1" s="1"/>
  <c r="DE142" i="1"/>
  <c r="DH142" i="1" s="1"/>
  <c r="DA334" i="1"/>
  <c r="CZ17" i="1"/>
  <c r="DA530" i="1"/>
  <c r="CZ150" i="1"/>
  <c r="DD142" i="1"/>
  <c r="DG142" i="1" s="1"/>
  <c r="DF380" i="1"/>
  <c r="DF352" i="1"/>
  <c r="DF481" i="1"/>
  <c r="DF485" i="1"/>
  <c r="DF537" i="1"/>
  <c r="DF523" i="1"/>
  <c r="DF501" i="1"/>
  <c r="DD220" i="1"/>
  <c r="DG220" i="1" s="1"/>
  <c r="DA76" i="1"/>
  <c r="DA40" i="1"/>
  <c r="AZ7" i="13"/>
  <c r="AS7" i="13"/>
  <c r="AS25" i="13" s="1"/>
  <c r="AL7" i="13"/>
  <c r="AL29" i="13" s="1"/>
  <c r="AY7" i="13"/>
  <c r="AY19" i="13" s="1"/>
  <c r="AR7" i="13"/>
  <c r="AR25" i="13" s="1"/>
  <c r="AK7" i="13"/>
  <c r="AK29" i="13" s="1"/>
  <c r="AT7" i="13"/>
  <c r="AT25" i="13" s="1"/>
  <c r="AM7" i="13"/>
  <c r="AM29" i="13" s="1"/>
  <c r="BA7" i="13"/>
  <c r="BA19" i="13" s="1"/>
  <c r="AZ19" i="13"/>
  <c r="AT19" i="13"/>
  <c r="AS19" i="13"/>
  <c r="AR19" i="13"/>
  <c r="AJ7" i="13"/>
  <c r="AJ29" i="13" s="1"/>
  <c r="AX7" i="13"/>
  <c r="AQ7" i="13"/>
  <c r="AN7" i="13"/>
  <c r="AN29" i="13" s="1"/>
  <c r="BB7" i="13"/>
  <c r="BB19" i="13" s="1"/>
  <c r="AU7" i="13"/>
  <c r="AU25" i="13" s="1"/>
  <c r="AE7" i="13"/>
  <c r="AE12" i="13" s="1"/>
  <c r="AF7" i="13"/>
  <c r="AC7" i="13"/>
  <c r="AG7" i="13"/>
  <c r="AG29" i="13" s="1"/>
  <c r="AD7" i="13"/>
  <c r="AD11" i="13" s="1"/>
  <c r="AF13" i="13"/>
  <c r="AC10" i="13"/>
  <c r="AC11" i="13"/>
  <c r="AC12" i="13"/>
  <c r="AG11" i="13"/>
  <c r="AG12" i="13"/>
  <c r="AE10" i="13"/>
  <c r="AF11" i="13"/>
  <c r="AC13" i="13"/>
  <c r="AG14" i="13"/>
  <c r="AE14" i="13"/>
  <c r="AC14" i="13"/>
  <c r="CZ474" i="1"/>
  <c r="DE161" i="1"/>
  <c r="DH161" i="1" s="1"/>
  <c r="DB220" i="1"/>
  <c r="DD76" i="1"/>
  <c r="DG76" i="1" s="1"/>
  <c r="DD141" i="1"/>
  <c r="DA161" i="1"/>
  <c r="DE474" i="1"/>
  <c r="DH474" i="1" s="1"/>
  <c r="C4" i="3"/>
  <c r="DB161" i="1"/>
  <c r="DA141" i="1"/>
  <c r="DD474" i="1"/>
  <c r="DG474" i="1" s="1"/>
  <c r="DE40" i="1"/>
  <c r="DH40" i="1" s="1"/>
  <c r="CZ176" i="1"/>
  <c r="DE176" i="1"/>
  <c r="DH176" i="1" s="1"/>
  <c r="DB141" i="1"/>
  <c r="DA474" i="1"/>
  <c r="DF474" i="1" s="1"/>
  <c r="DD161" i="1"/>
  <c r="DG161" i="1" s="1"/>
  <c r="DD176" i="1"/>
  <c r="DG176" i="1" s="1"/>
  <c r="CZ141" i="1"/>
  <c r="DE417" i="1"/>
  <c r="DH417" i="1" s="1"/>
  <c r="CZ484" i="1"/>
  <c r="DD484" i="1"/>
  <c r="DG484" i="1" s="1"/>
  <c r="DB35" i="1"/>
  <c r="DD417" i="1"/>
  <c r="DG417" i="1" s="1"/>
  <c r="CZ417" i="1"/>
  <c r="DA176" i="1"/>
  <c r="DC176" i="1" s="1"/>
  <c r="DB484" i="1"/>
  <c r="DF484" i="1" s="1"/>
  <c r="DA35" i="1"/>
  <c r="DA417" i="1"/>
  <c r="DC417" i="1" s="1"/>
  <c r="DE484" i="1"/>
  <c r="DH484" i="1" s="1"/>
  <c r="CZ76" i="1"/>
  <c r="DE497" i="1"/>
  <c r="DH497" i="1" s="1"/>
  <c r="CZ39" i="1"/>
  <c r="DA115" i="1"/>
  <c r="CZ48" i="1"/>
  <c r="DA311" i="1"/>
  <c r="DB115" i="1"/>
  <c r="DE35" i="1"/>
  <c r="DH35" i="1" s="1"/>
  <c r="DB357" i="1"/>
  <c r="DF357" i="1" s="1"/>
  <c r="DD39" i="1"/>
  <c r="DG39" i="1" s="1"/>
  <c r="CZ357" i="1"/>
  <c r="DB39" i="1"/>
  <c r="DE115" i="1"/>
  <c r="DE357" i="1"/>
  <c r="DH357" i="1" s="1"/>
  <c r="DE76" i="1"/>
  <c r="DH76" i="1" s="1"/>
  <c r="CZ115" i="1"/>
  <c r="DB48" i="1"/>
  <c r="DE39" i="1"/>
  <c r="DH39" i="1" s="1"/>
  <c r="DD311" i="1"/>
  <c r="DG311" i="1" s="1"/>
  <c r="DE311" i="1"/>
  <c r="DH311" i="1" s="1"/>
  <c r="DA48" i="1"/>
  <c r="DE48" i="1"/>
  <c r="DE456" i="1"/>
  <c r="DH456" i="1" s="1"/>
  <c r="DB456" i="1"/>
  <c r="CZ213" i="1"/>
  <c r="DD87" i="1"/>
  <c r="DG87" i="1" s="1"/>
  <c r="DD213" i="1"/>
  <c r="DG213" i="1" s="1"/>
  <c r="DE87" i="1"/>
  <c r="DH87" i="1" s="1"/>
  <c r="CZ456" i="1"/>
  <c r="DE213" i="1"/>
  <c r="DH213" i="1" s="1"/>
  <c r="DB213" i="1"/>
  <c r="DC213" i="1" s="1"/>
  <c r="DA263" i="1"/>
  <c r="DD394" i="1"/>
  <c r="DG394" i="1" s="1"/>
  <c r="DD13" i="1"/>
  <c r="DG13" i="1" s="1"/>
  <c r="DD165" i="1"/>
  <c r="DD456" i="1"/>
  <c r="DG456" i="1" s="1"/>
  <c r="DA87" i="1"/>
  <c r="DD357" i="1"/>
  <c r="DG357" i="1" s="1"/>
  <c r="DB87" i="1"/>
  <c r="DB311" i="1"/>
  <c r="DD35" i="1"/>
  <c r="DG35" i="1" s="1"/>
  <c r="DB40" i="1"/>
  <c r="CZ497" i="1"/>
  <c r="DD40" i="1"/>
  <c r="DG40" i="1" s="1"/>
  <c r="CZ165" i="1"/>
  <c r="DA116" i="1"/>
  <c r="DB263" i="1"/>
  <c r="DA394" i="1"/>
  <c r="DA165" i="1"/>
  <c r="DA497" i="1"/>
  <c r="DF497" i="1" s="1"/>
  <c r="CZ116" i="1"/>
  <c r="DB116" i="1"/>
  <c r="DA13" i="1"/>
  <c r="DB394" i="1"/>
  <c r="DB165" i="1"/>
  <c r="DD497" i="1"/>
  <c r="DG497" i="1" s="1"/>
  <c r="DD116" i="1"/>
  <c r="DG116" i="1" s="1"/>
  <c r="CZ263" i="1"/>
  <c r="DE13" i="1"/>
  <c r="DH13" i="1" s="1"/>
  <c r="DD263" i="1"/>
  <c r="DB13" i="1"/>
  <c r="DE394" i="1"/>
  <c r="DH394" i="1" s="1"/>
  <c r="DE220" i="1"/>
  <c r="DH220" i="1" s="1"/>
  <c r="DA220" i="1"/>
  <c r="CW517" i="1"/>
  <c r="CW502" i="1"/>
  <c r="CU516" i="1"/>
  <c r="CS518" i="1"/>
  <c r="CU533" i="1"/>
  <c r="CS530" i="1"/>
  <c r="CS503" i="1"/>
  <c r="CS492" i="1"/>
  <c r="CS504" i="1"/>
  <c r="CS486" i="1"/>
  <c r="CS498" i="1"/>
  <c r="CS470" i="1"/>
  <c r="CS465" i="1"/>
  <c r="CS478" i="1"/>
  <c r="CS508" i="1"/>
  <c r="CS506" i="1"/>
  <c r="CS500" i="1"/>
  <c r="CS466" i="1"/>
  <c r="CS468" i="1"/>
  <c r="CS520" i="1"/>
  <c r="CW526" i="1"/>
  <c r="CW352" i="1"/>
  <c r="CU511" i="1"/>
  <c r="CU522" i="1"/>
  <c r="CW536" i="1"/>
  <c r="CW515" i="1"/>
  <c r="CU509" i="1"/>
  <c r="CW380" i="1"/>
  <c r="CW532" i="1"/>
  <c r="CW357" i="1"/>
  <c r="CS489" i="1"/>
  <c r="CS505" i="1"/>
  <c r="CS463" i="1"/>
  <c r="CS482" i="1"/>
  <c r="CS471" i="1"/>
  <c r="CS490" i="1"/>
  <c r="CS464" i="1"/>
  <c r="CS477" i="1"/>
  <c r="CS485" i="1"/>
  <c r="CS531" i="1"/>
  <c r="CS484" i="1"/>
  <c r="CS474" i="1"/>
  <c r="CS497" i="1"/>
  <c r="CW489" i="1"/>
  <c r="CW497" i="1"/>
  <c r="CW509" i="1"/>
  <c r="CW485" i="1"/>
  <c r="CS357" i="1"/>
  <c r="CW471" i="1"/>
  <c r="CW474" i="1"/>
  <c r="CW477" i="1"/>
  <c r="CW482" i="1"/>
  <c r="CW484" i="1"/>
  <c r="CW464" i="1"/>
  <c r="CW463" i="1"/>
  <c r="CU526" i="1"/>
  <c r="CW531" i="1"/>
  <c r="CW490" i="1"/>
  <c r="CW505" i="1"/>
  <c r="CS390" i="1"/>
  <c r="CW390" i="1"/>
  <c r="CT535" i="1"/>
  <c r="CU535" i="1"/>
  <c r="CT519" i="1"/>
  <c r="CU519" i="1"/>
  <c r="CS519" i="1"/>
  <c r="CT483" i="1"/>
  <c r="CU483" i="1"/>
  <c r="CS483" i="1"/>
  <c r="CT476" i="1"/>
  <c r="CU476" i="1"/>
  <c r="CS476" i="1"/>
  <c r="CT527" i="1"/>
  <c r="CU527" i="1"/>
  <c r="CS527" i="1"/>
  <c r="CT534" i="1"/>
  <c r="CU534" i="1"/>
  <c r="CS534" i="1"/>
  <c r="CT493" i="1"/>
  <c r="CU493" i="1"/>
  <c r="CS493" i="1"/>
  <c r="CT496" i="1"/>
  <c r="CU496" i="1"/>
  <c r="CS496" i="1"/>
  <c r="CW496" i="1"/>
  <c r="CW473" i="1"/>
  <c r="CW493" i="1"/>
  <c r="CW534" i="1"/>
  <c r="CW527" i="1"/>
  <c r="CW476" i="1"/>
  <c r="CW469" i="1"/>
  <c r="CW483" i="1"/>
  <c r="CW519" i="1"/>
  <c r="CW535" i="1"/>
  <c r="CS528" i="1"/>
  <c r="CT528" i="1"/>
  <c r="CU528" i="1"/>
  <c r="CS537" i="1"/>
  <c r="CT518" i="1"/>
  <c r="CU518" i="1"/>
  <c r="CT514" i="1"/>
  <c r="CU514" i="1"/>
  <c r="CT530" i="1"/>
  <c r="CU530" i="1"/>
  <c r="CS512" i="1"/>
  <c r="CT512" i="1"/>
  <c r="CU512" i="1"/>
  <c r="CT503" i="1"/>
  <c r="CU503" i="1"/>
  <c r="CT504" i="1"/>
  <c r="CU504" i="1"/>
  <c r="CT498" i="1"/>
  <c r="CU498" i="1"/>
  <c r="CT465" i="1"/>
  <c r="CU465" i="1"/>
  <c r="CT508" i="1"/>
  <c r="CU508" i="1"/>
  <c r="CT506" i="1"/>
  <c r="CU506" i="1"/>
  <c r="CT466" i="1"/>
  <c r="CU466" i="1"/>
  <c r="CW528" i="1"/>
  <c r="CT520" i="1"/>
  <c r="CU520" i="1"/>
  <c r="CS526" i="1"/>
  <c r="CT526" i="1"/>
  <c r="CS352" i="1"/>
  <c r="CS511" i="1"/>
  <c r="CT511" i="1"/>
  <c r="CS272" i="1"/>
  <c r="CS523" i="1"/>
  <c r="CT524" i="1"/>
  <c r="CU524" i="1"/>
  <c r="CS524" i="1"/>
  <c r="CS521" i="1"/>
  <c r="CT521" i="1"/>
  <c r="CU521" i="1"/>
  <c r="CT472" i="1"/>
  <c r="CU472" i="1"/>
  <c r="CS472" i="1"/>
  <c r="CT495" i="1"/>
  <c r="CU495" i="1"/>
  <c r="CS495" i="1"/>
  <c r="CT480" i="1"/>
  <c r="CU480" i="1"/>
  <c r="CS480" i="1"/>
  <c r="CT529" i="1"/>
  <c r="CU529" i="1"/>
  <c r="CS529" i="1"/>
  <c r="CT510" i="1"/>
  <c r="CU510" i="1"/>
  <c r="CS510" i="1"/>
  <c r="CT499" i="1"/>
  <c r="CU499" i="1"/>
  <c r="CS499" i="1"/>
  <c r="CT481" i="1"/>
  <c r="CU481" i="1"/>
  <c r="CS481" i="1"/>
  <c r="CT494" i="1"/>
  <c r="CU494" i="1"/>
  <c r="CS494" i="1"/>
  <c r="CT488" i="1"/>
  <c r="CU488" i="1"/>
  <c r="CS488" i="1"/>
  <c r="CT507" i="1"/>
  <c r="CU507" i="1"/>
  <c r="CS507" i="1"/>
  <c r="CT479" i="1"/>
  <c r="CU479" i="1"/>
  <c r="CS479" i="1"/>
  <c r="CT467" i="1"/>
  <c r="CU467" i="1"/>
  <c r="CS467" i="1"/>
  <c r="CW467" i="1"/>
  <c r="CW479" i="1"/>
  <c r="CW507" i="1"/>
  <c r="CW488" i="1"/>
  <c r="CW494" i="1"/>
  <c r="CW481" i="1"/>
  <c r="CW499" i="1"/>
  <c r="CW510" i="1"/>
  <c r="CW529" i="1"/>
  <c r="CW480" i="1"/>
  <c r="CW495" i="1"/>
  <c r="CW472" i="1"/>
  <c r="CW521" i="1"/>
  <c r="CW524" i="1"/>
  <c r="CW523" i="1"/>
  <c r="CW272" i="1"/>
  <c r="CW511" i="1"/>
  <c r="CW516" i="1"/>
  <c r="CW520" i="1"/>
  <c r="CU523" i="1"/>
  <c r="CS514" i="1"/>
  <c r="CS535" i="1"/>
  <c r="CU537" i="1"/>
  <c r="CS405" i="1"/>
  <c r="CW405" i="1"/>
  <c r="CT517" i="1"/>
  <c r="CU517" i="1"/>
  <c r="CT502" i="1"/>
  <c r="CU502" i="1"/>
  <c r="CS502" i="1"/>
  <c r="CT491" i="1"/>
  <c r="CU491" i="1"/>
  <c r="CS491" i="1"/>
  <c r="CT469" i="1"/>
  <c r="CU469" i="1"/>
  <c r="CS469" i="1"/>
  <c r="CT501" i="1"/>
  <c r="CU501" i="1"/>
  <c r="CS501" i="1"/>
  <c r="CT513" i="1"/>
  <c r="CU513" i="1"/>
  <c r="CS513" i="1"/>
  <c r="CT487" i="1"/>
  <c r="CU487" i="1"/>
  <c r="CS487" i="1"/>
  <c r="CT473" i="1"/>
  <c r="CU473" i="1"/>
  <c r="CS473" i="1"/>
  <c r="CT475" i="1"/>
  <c r="CU475" i="1"/>
  <c r="CS475" i="1"/>
  <c r="CW475" i="1"/>
  <c r="CW487" i="1"/>
  <c r="CW513" i="1"/>
  <c r="CW501" i="1"/>
  <c r="CW491" i="1"/>
  <c r="CS517" i="1"/>
  <c r="CS516" i="1"/>
  <c r="CT525" i="1"/>
  <c r="CU525" i="1"/>
  <c r="CS525" i="1"/>
  <c r="CS533" i="1"/>
  <c r="CT492" i="1"/>
  <c r="CU492" i="1"/>
  <c r="CT486" i="1"/>
  <c r="CU486" i="1"/>
  <c r="CT470" i="1"/>
  <c r="CU470" i="1"/>
  <c r="CT478" i="1"/>
  <c r="CU478" i="1"/>
  <c r="CT500" i="1"/>
  <c r="CU500" i="1"/>
  <c r="CT468" i="1"/>
  <c r="CU468" i="1"/>
  <c r="CS522" i="1"/>
  <c r="CW522" i="1"/>
  <c r="CT536" i="1"/>
  <c r="CU536" i="1"/>
  <c r="CS536" i="1"/>
  <c r="CS515" i="1"/>
  <c r="CT515" i="1"/>
  <c r="CU515" i="1"/>
  <c r="CS509" i="1"/>
  <c r="CS380" i="1"/>
  <c r="CU380" i="1" s="1"/>
  <c r="CS532" i="1"/>
  <c r="CT532" i="1"/>
  <c r="CU532" i="1"/>
  <c r="CT489" i="1"/>
  <c r="CU489" i="1"/>
  <c r="CT505" i="1"/>
  <c r="CU505" i="1"/>
  <c r="CT463" i="1"/>
  <c r="CU463" i="1"/>
  <c r="CT482" i="1"/>
  <c r="CU482" i="1"/>
  <c r="CT471" i="1"/>
  <c r="CU471" i="1"/>
  <c r="CT490" i="1"/>
  <c r="CU490" i="1"/>
  <c r="CT464" i="1"/>
  <c r="CU464" i="1"/>
  <c r="CT477" i="1"/>
  <c r="CU477" i="1"/>
  <c r="CT485" i="1"/>
  <c r="CU485" i="1"/>
  <c r="CT531" i="1"/>
  <c r="CU531" i="1"/>
  <c r="CT484" i="1"/>
  <c r="CU484" i="1"/>
  <c r="CT474" i="1"/>
  <c r="CU474" i="1"/>
  <c r="CT497" i="1"/>
  <c r="CU497" i="1"/>
  <c r="CW468" i="1"/>
  <c r="CW466" i="1"/>
  <c r="CW500" i="1"/>
  <c r="CW506" i="1"/>
  <c r="CW508" i="1"/>
  <c r="CW478" i="1"/>
  <c r="CW465" i="1"/>
  <c r="CW470" i="1"/>
  <c r="CW498" i="1"/>
  <c r="CW486" i="1"/>
  <c r="CW504" i="1"/>
  <c r="CW492" i="1"/>
  <c r="CW503" i="1"/>
  <c r="CW512" i="1"/>
  <c r="CW530" i="1"/>
  <c r="CW514" i="1"/>
  <c r="CW533" i="1"/>
  <c r="CW518" i="1"/>
  <c r="CW537" i="1"/>
  <c r="CW525" i="1"/>
  <c r="CT523" i="1"/>
  <c r="CT533" i="1"/>
  <c r="CT509" i="1"/>
  <c r="CT537" i="1"/>
  <c r="CT516" i="1"/>
  <c r="CT522" i="1"/>
  <c r="C5" i="3"/>
  <c r="C6" i="3"/>
  <c r="C7" i="3"/>
  <c r="C9" i="3"/>
  <c r="DI189" i="1" l="1"/>
  <c r="DC222" i="1"/>
  <c r="DJ130" i="1"/>
  <c r="DJ4" i="1"/>
  <c r="DJ268" i="1"/>
  <c r="DC166" i="1"/>
  <c r="DJ137" i="1"/>
  <c r="DI432" i="1"/>
  <c r="DJ432" i="1"/>
  <c r="DC345" i="1"/>
  <c r="DC385" i="1"/>
  <c r="DF495" i="1"/>
  <c r="F4" i="3"/>
  <c r="DC59" i="1"/>
  <c r="DC205" i="1"/>
  <c r="DC274" i="1"/>
  <c r="DC344" i="1"/>
  <c r="DI212" i="1"/>
  <c r="DC240" i="1"/>
  <c r="DJ404" i="1"/>
  <c r="DC255" i="1"/>
  <c r="DI439" i="1"/>
  <c r="DC304" i="1"/>
  <c r="DC70" i="1"/>
  <c r="DC285" i="1"/>
  <c r="DC21" i="1"/>
  <c r="DC369" i="1"/>
  <c r="DC390" i="1"/>
  <c r="DC135" i="1"/>
  <c r="DC25" i="1"/>
  <c r="DJ32" i="1"/>
  <c r="DC318" i="1"/>
  <c r="DC439" i="1"/>
  <c r="DC325" i="1"/>
  <c r="DC165" i="1"/>
  <c r="DC233" i="1"/>
  <c r="DC287" i="1"/>
  <c r="DC316" i="1"/>
  <c r="DJ144" i="1"/>
  <c r="DC84" i="1"/>
  <c r="DC277" i="1"/>
  <c r="DC201" i="1"/>
  <c r="DC87" i="1"/>
  <c r="DC115" i="1"/>
  <c r="DC227" i="1"/>
  <c r="DC18" i="1"/>
  <c r="DC389" i="1"/>
  <c r="DC10" i="1"/>
  <c r="DC235" i="1"/>
  <c r="DC410" i="1"/>
  <c r="DC204" i="1"/>
  <c r="DC104" i="1"/>
  <c r="DC191" i="1"/>
  <c r="DC401" i="1"/>
  <c r="DC323" i="1"/>
  <c r="DC394" i="1"/>
  <c r="DJ380" i="1"/>
  <c r="DC272" i="1"/>
  <c r="DC317" i="1"/>
  <c r="DC294" i="1"/>
  <c r="DC48" i="1"/>
  <c r="DC141" i="1"/>
  <c r="DC305" i="1"/>
  <c r="DC181" i="1"/>
  <c r="DC223" i="1"/>
  <c r="DC224" i="1"/>
  <c r="DC142" i="1"/>
  <c r="DC125" i="1"/>
  <c r="DC405" i="1"/>
  <c r="DC351" i="1"/>
  <c r="DC391" i="1"/>
  <c r="DC427" i="1"/>
  <c r="DC278" i="1"/>
  <c r="DC290" i="1"/>
  <c r="DC225" i="1"/>
  <c r="DC349" i="1"/>
  <c r="DC187" i="1"/>
  <c r="DC194" i="1"/>
  <c r="DC281" i="1"/>
  <c r="DC143" i="1"/>
  <c r="DC203" i="1"/>
  <c r="DC368" i="1"/>
  <c r="DC220" i="1"/>
  <c r="DC263" i="1"/>
  <c r="DC334" i="1"/>
  <c r="DC310" i="1"/>
  <c r="DC376" i="1"/>
  <c r="DC322" i="1"/>
  <c r="DC195" i="1"/>
  <c r="DC411" i="1"/>
  <c r="DC245" i="1"/>
  <c r="DC429" i="1"/>
  <c r="DC174" i="1"/>
  <c r="DC402" i="1"/>
  <c r="DC360" i="1"/>
  <c r="DC177" i="1"/>
  <c r="DC113" i="1"/>
  <c r="DC379" i="1"/>
  <c r="DC72" i="1"/>
  <c r="DC283" i="1"/>
  <c r="DC108" i="1"/>
  <c r="DC307" i="1"/>
  <c r="DC341" i="1"/>
  <c r="DC400" i="1"/>
  <c r="DC79" i="1"/>
  <c r="DC20" i="1"/>
  <c r="DC365" i="1"/>
  <c r="DC261" i="1"/>
  <c r="DC416" i="1"/>
  <c r="DC301" i="1"/>
  <c r="DC228" i="1"/>
  <c r="DC258" i="1"/>
  <c r="DC208" i="1"/>
  <c r="DC353" i="1"/>
  <c r="DC445" i="1"/>
  <c r="DC192" i="1"/>
  <c r="DC159" i="1"/>
  <c r="DC314" i="1"/>
  <c r="DC291" i="1"/>
  <c r="DC231" i="1"/>
  <c r="DC80" i="1"/>
  <c r="DC101" i="1"/>
  <c r="DC184" i="1"/>
  <c r="DJ152" i="1"/>
  <c r="DC152" i="1"/>
  <c r="DC343" i="1"/>
  <c r="DC161" i="1"/>
  <c r="DC229" i="1"/>
  <c r="DC106" i="1"/>
  <c r="DC329" i="1"/>
  <c r="DC67" i="1"/>
  <c r="DC382" i="1"/>
  <c r="DC218" i="1"/>
  <c r="DC132" i="1"/>
  <c r="DC179" i="1"/>
  <c r="DJ73" i="1"/>
  <c r="DC73" i="1"/>
  <c r="DC164" i="1"/>
  <c r="DC78" i="1"/>
  <c r="DC338" i="1"/>
  <c r="DC340" i="1"/>
  <c r="DC182" i="1"/>
  <c r="DC150" i="1"/>
  <c r="DC200" i="1"/>
  <c r="DC264" i="1"/>
  <c r="DC151" i="1"/>
  <c r="DC254" i="1"/>
  <c r="DC215" i="1"/>
  <c r="DC95" i="1"/>
  <c r="DC392" i="1"/>
  <c r="DC193" i="1"/>
  <c r="DC56" i="1"/>
  <c r="DC158" i="1"/>
  <c r="DC122" i="1"/>
  <c r="DC246" i="1"/>
  <c r="DC399" i="1"/>
  <c r="DC311" i="1"/>
  <c r="DC302" i="1"/>
  <c r="DC214" i="1"/>
  <c r="DC372" i="1"/>
  <c r="DC128" i="1"/>
  <c r="DC241" i="1"/>
  <c r="DC247" i="1"/>
  <c r="DC260" i="1"/>
  <c r="DC273" i="1"/>
  <c r="DC397" i="1"/>
  <c r="DC92" i="1"/>
  <c r="DC356" i="1"/>
  <c r="DC438" i="1"/>
  <c r="DC269" i="1"/>
  <c r="DC105" i="1"/>
  <c r="DC138" i="1"/>
  <c r="DC119" i="1"/>
  <c r="DC293" i="1"/>
  <c r="DC363" i="1"/>
  <c r="DC198" i="1"/>
  <c r="DC171" i="1"/>
  <c r="DC374" i="1"/>
  <c r="DC123" i="1"/>
  <c r="DC86" i="1"/>
  <c r="DC330" i="1"/>
  <c r="DC407" i="1"/>
  <c r="DC217" i="1"/>
  <c r="DC90" i="1"/>
  <c r="DC279" i="1"/>
  <c r="DC384" i="1"/>
  <c r="DC297" i="1"/>
  <c r="DC190" i="1"/>
  <c r="DC24" i="1"/>
  <c r="DC284" i="1"/>
  <c r="DC71" i="1"/>
  <c r="DC156" i="1"/>
  <c r="DC23" i="1"/>
  <c r="DC133" i="1"/>
  <c r="DC211" i="1"/>
  <c r="DC312" i="1"/>
  <c r="DC299" i="1"/>
  <c r="DC303" i="1"/>
  <c r="DC396" i="1"/>
  <c r="DC395" i="1"/>
  <c r="DC373" i="1"/>
  <c r="DC319" i="1"/>
  <c r="DC418" i="1"/>
  <c r="DC100" i="1"/>
  <c r="DC32" i="1"/>
  <c r="DC243" i="1"/>
  <c r="DC332" i="1"/>
  <c r="DC419" i="1"/>
  <c r="DC250" i="1"/>
  <c r="DC206" i="1"/>
  <c r="DC102" i="1"/>
  <c r="DC371" i="1"/>
  <c r="DC271" i="1"/>
  <c r="DC97" i="1"/>
  <c r="DC134" i="1"/>
  <c r="DJ440" i="1"/>
  <c r="DC440" i="1"/>
  <c r="DC117" i="1"/>
  <c r="DC282" i="1"/>
  <c r="DC387" i="1"/>
  <c r="DC333" i="1"/>
  <c r="DC111" i="1"/>
  <c r="DC251" i="1"/>
  <c r="DJ428" i="1"/>
  <c r="DC428" i="1"/>
  <c r="DC216" i="1"/>
  <c r="DJ267" i="1"/>
  <c r="DJ533" i="1"/>
  <c r="DJ270" i="1"/>
  <c r="DJ403" i="1"/>
  <c r="DI422" i="1"/>
  <c r="DF533" i="1"/>
  <c r="DJ216" i="1"/>
  <c r="DJ399" i="1"/>
  <c r="DJ274" i="1"/>
  <c r="DJ10" i="1"/>
  <c r="DI399" i="1"/>
  <c r="DI276" i="1"/>
  <c r="DJ114" i="1"/>
  <c r="DJ289" i="1"/>
  <c r="DI10" i="1"/>
  <c r="DJ434" i="1"/>
  <c r="DJ421" i="1"/>
  <c r="DF479" i="1"/>
  <c r="DJ189" i="1"/>
  <c r="DJ461" i="1"/>
  <c r="DJ57" i="1"/>
  <c r="DI430" i="1"/>
  <c r="DI347" i="1"/>
  <c r="DJ347" i="1"/>
  <c r="DF531" i="1"/>
  <c r="DJ435" i="1"/>
  <c r="DJ431" i="1"/>
  <c r="DJ502" i="1"/>
  <c r="DK524" i="1"/>
  <c r="DK500" i="1"/>
  <c r="DJ355" i="1"/>
  <c r="DJ386" i="1"/>
  <c r="DF500" i="1"/>
  <c r="DJ196" i="1"/>
  <c r="DJ38" i="1"/>
  <c r="DI274" i="1"/>
  <c r="DJ111" i="1"/>
  <c r="DJ5" i="1"/>
  <c r="DJ169" i="1"/>
  <c r="DJ77" i="1"/>
  <c r="DJ439" i="1"/>
  <c r="DJ177" i="1"/>
  <c r="DG143" i="1"/>
  <c r="DI143" i="1" s="1"/>
  <c r="DG211" i="1"/>
  <c r="DI211" i="1" s="1"/>
  <c r="DG382" i="1"/>
  <c r="DJ382" i="1" s="1"/>
  <c r="DH254" i="1"/>
  <c r="DI254" i="1" s="1"/>
  <c r="DG92" i="1"/>
  <c r="DJ92" i="1" s="1"/>
  <c r="DG424" i="1"/>
  <c r="DJ424" i="1" s="1"/>
  <c r="DG360" i="1"/>
  <c r="DI360" i="1" s="1"/>
  <c r="DG333" i="1"/>
  <c r="DJ333" i="1" s="1"/>
  <c r="DH237" i="1"/>
  <c r="DI237" i="1" s="1"/>
  <c r="DG320" i="1"/>
  <c r="DI320" i="1" s="1"/>
  <c r="DH498" i="1"/>
  <c r="DI498" i="1" s="1"/>
  <c r="DG103" i="1"/>
  <c r="DJ103" i="1" s="1"/>
  <c r="DH389" i="1"/>
  <c r="DI389" i="1" s="1"/>
  <c r="DG400" i="1"/>
  <c r="DI400" i="1" s="1"/>
  <c r="DG222" i="1"/>
  <c r="DI222" i="1" s="1"/>
  <c r="DH322" i="1"/>
  <c r="DI322" i="1" s="1"/>
  <c r="DG208" i="1"/>
  <c r="DI208" i="1" s="1"/>
  <c r="DG58" i="1"/>
  <c r="DI58" i="1" s="1"/>
  <c r="DG299" i="1"/>
  <c r="DJ299" i="1" s="1"/>
  <c r="DG181" i="1"/>
  <c r="DI181" i="1" s="1"/>
  <c r="DH462" i="1"/>
  <c r="DI462" i="1" s="1"/>
  <c r="DH340" i="1"/>
  <c r="DI340" i="1" s="1"/>
  <c r="DH407" i="1"/>
  <c r="DI407" i="1" s="1"/>
  <c r="DH260" i="1"/>
  <c r="DI260" i="1" s="1"/>
  <c r="DG95" i="1"/>
  <c r="DI95" i="1" s="1"/>
  <c r="DG401" i="1"/>
  <c r="DJ401" i="1" s="1"/>
  <c r="DH25" i="1"/>
  <c r="DI25" i="1" s="1"/>
  <c r="DH227" i="1"/>
  <c r="DI227" i="1" s="1"/>
  <c r="DG218" i="1"/>
  <c r="DI218" i="1" s="1"/>
  <c r="DH296" i="1"/>
  <c r="DI296" i="1" s="1"/>
  <c r="DG316" i="1"/>
  <c r="DI316" i="1" s="1"/>
  <c r="DG335" i="1"/>
  <c r="DI335" i="1" s="1"/>
  <c r="DH251" i="1"/>
  <c r="DI251" i="1" s="1"/>
  <c r="DH323" i="1"/>
  <c r="DI323" i="1" s="1"/>
  <c r="DH231" i="1"/>
  <c r="DI231" i="1" s="1"/>
  <c r="DG519" i="1"/>
  <c r="DI519" i="1" s="1"/>
  <c r="DH126" i="1"/>
  <c r="DJ126" i="1" s="1"/>
  <c r="DG367" i="1"/>
  <c r="DJ367" i="1" s="1"/>
  <c r="DG297" i="1"/>
  <c r="DJ297" i="1" s="1"/>
  <c r="DG70" i="1"/>
  <c r="DI70" i="1" s="1"/>
  <c r="DG258" i="1"/>
  <c r="DI258" i="1" s="1"/>
  <c r="DH233" i="1"/>
  <c r="DI233" i="1" s="1"/>
  <c r="DG84" i="1"/>
  <c r="DI84" i="1" s="1"/>
  <c r="DG343" i="1"/>
  <c r="DI343" i="1" s="1"/>
  <c r="DG416" i="1"/>
  <c r="DJ416" i="1" s="1"/>
  <c r="DH148" i="1"/>
  <c r="DJ148" i="1" s="1"/>
  <c r="DG413" i="1"/>
  <c r="DJ413" i="1" s="1"/>
  <c r="DH308" i="1"/>
  <c r="DI308" i="1" s="1"/>
  <c r="DG141" i="1"/>
  <c r="DJ141" i="1" s="1"/>
  <c r="DG310" i="1"/>
  <c r="DI310" i="1" s="1"/>
  <c r="DG156" i="1"/>
  <c r="DI156" i="1" s="1"/>
  <c r="DH138" i="1"/>
  <c r="DI138" i="1" s="1"/>
  <c r="DG194" i="1"/>
  <c r="DI194" i="1" s="1"/>
  <c r="DG224" i="1"/>
  <c r="DJ224" i="1" s="1"/>
  <c r="DG67" i="1"/>
  <c r="DI67" i="1" s="1"/>
  <c r="DH243" i="1"/>
  <c r="DI243" i="1" s="1"/>
  <c r="DG59" i="1"/>
  <c r="DI59" i="1" s="1"/>
  <c r="DH72" i="1"/>
  <c r="DI72" i="1" s="1"/>
  <c r="DH205" i="1"/>
  <c r="DI205" i="1" s="1"/>
  <c r="DG174" i="1"/>
  <c r="DI174" i="1" s="1"/>
  <c r="DH245" i="1"/>
  <c r="DI245" i="1" s="1"/>
  <c r="DH375" i="1"/>
  <c r="DI375" i="1" s="1"/>
  <c r="DH506" i="1"/>
  <c r="DI506" i="1" s="1"/>
  <c r="DH485" i="1"/>
  <c r="DJ485" i="1" s="1"/>
  <c r="DG388" i="1"/>
  <c r="DI388" i="1" s="1"/>
  <c r="DH122" i="1"/>
  <c r="DI122" i="1" s="1"/>
  <c r="DH101" i="1"/>
  <c r="DI101" i="1" s="1"/>
  <c r="DH119" i="1"/>
  <c r="DI119" i="1" s="1"/>
  <c r="DH134" i="1"/>
  <c r="DI134" i="1" s="1"/>
  <c r="DG303" i="1"/>
  <c r="DJ303" i="1" s="1"/>
  <c r="DG108" i="1"/>
  <c r="DI108" i="1" s="1"/>
  <c r="DG266" i="1"/>
  <c r="DI266" i="1" s="1"/>
  <c r="DG199" i="1"/>
  <c r="DJ199" i="1" s="1"/>
  <c r="DG185" i="1"/>
  <c r="DJ185" i="1" s="1"/>
  <c r="DG210" i="1"/>
  <c r="DJ210" i="1" s="1"/>
  <c r="DH279" i="1"/>
  <c r="DI279" i="1" s="1"/>
  <c r="DH48" i="1"/>
  <c r="DI48" i="1" s="1"/>
  <c r="DG182" i="1"/>
  <c r="DI182" i="1" s="1"/>
  <c r="DG302" i="1"/>
  <c r="DI302" i="1" s="1"/>
  <c r="DH214" i="1"/>
  <c r="DI214" i="1" s="1"/>
  <c r="DG106" i="1"/>
  <c r="DJ106" i="1" s="1"/>
  <c r="DG86" i="1"/>
  <c r="DI86" i="1" s="1"/>
  <c r="DH291" i="1"/>
  <c r="DI291" i="1" s="1"/>
  <c r="DG206" i="1"/>
  <c r="DI206" i="1" s="1"/>
  <c r="DG159" i="1"/>
  <c r="DI159" i="1" s="1"/>
  <c r="DG191" i="1"/>
  <c r="DJ191" i="1" s="1"/>
  <c r="DG241" i="1"/>
  <c r="DI241" i="1" s="1"/>
  <c r="DH402" i="1"/>
  <c r="DI402" i="1" s="1"/>
  <c r="DH397" i="1"/>
  <c r="DJ397" i="1" s="1"/>
  <c r="DG242" i="1"/>
  <c r="DJ242" i="1" s="1"/>
  <c r="DH56" i="1"/>
  <c r="DJ56" i="1" s="1"/>
  <c r="DG338" i="1"/>
  <c r="DI338" i="1" s="1"/>
  <c r="DH171" i="1"/>
  <c r="DJ171" i="1" s="1"/>
  <c r="DH376" i="1"/>
  <c r="DI376" i="1" s="1"/>
  <c r="DH356" i="1"/>
  <c r="DI356" i="1" s="1"/>
  <c r="DH337" i="1"/>
  <c r="DI337" i="1" s="1"/>
  <c r="DG336" i="1"/>
  <c r="DI336" i="1" s="1"/>
  <c r="DH158" i="1"/>
  <c r="DJ158" i="1" s="1"/>
  <c r="DG426" i="1"/>
  <c r="DJ426" i="1" s="1"/>
  <c r="DH301" i="1"/>
  <c r="DI301" i="1" s="1"/>
  <c r="DH115" i="1"/>
  <c r="DI115" i="1" s="1"/>
  <c r="DG71" i="1"/>
  <c r="DJ71" i="1" s="1"/>
  <c r="DG150" i="1"/>
  <c r="DI150" i="1" s="1"/>
  <c r="DG229" i="1"/>
  <c r="DI229" i="1" s="1"/>
  <c r="DG125" i="1"/>
  <c r="DI125" i="1" s="1"/>
  <c r="DG23" i="1"/>
  <c r="DJ23" i="1" s="1"/>
  <c r="DG133" i="1"/>
  <c r="DI133" i="1" s="1"/>
  <c r="DG235" i="1"/>
  <c r="DI235" i="1" s="1"/>
  <c r="DG395" i="1"/>
  <c r="DJ395" i="1" s="1"/>
  <c r="DH345" i="1"/>
  <c r="DI345" i="1" s="1"/>
  <c r="DH396" i="1"/>
  <c r="DI396" i="1" s="1"/>
  <c r="DH285" i="1"/>
  <c r="DI285" i="1" s="1"/>
  <c r="DH477" i="1"/>
  <c r="DI477" i="1" s="1"/>
  <c r="DG80" i="1"/>
  <c r="DI80" i="1" s="1"/>
  <c r="DH300" i="1"/>
  <c r="DI300" i="1" s="1"/>
  <c r="DH100" i="1"/>
  <c r="DJ100" i="1" s="1"/>
  <c r="DG186" i="1"/>
  <c r="DI186" i="1" s="1"/>
  <c r="DH325" i="1"/>
  <c r="DI325" i="1" s="1"/>
  <c r="DG163" i="1"/>
  <c r="DI163" i="1" s="1"/>
  <c r="DH236" i="1"/>
  <c r="DJ236" i="1" s="1"/>
  <c r="DG443" i="1"/>
  <c r="DJ443" i="1" s="1"/>
  <c r="DG246" i="1"/>
  <c r="DI246" i="1" s="1"/>
  <c r="DG228" i="1"/>
  <c r="DI228" i="1" s="1"/>
  <c r="DG457" i="1"/>
  <c r="DI457" i="1" s="1"/>
  <c r="DG437" i="1"/>
  <c r="DI437" i="1" s="1"/>
  <c r="DG217" i="1"/>
  <c r="DI217" i="1" s="1"/>
  <c r="DG79" i="1"/>
  <c r="DI79" i="1" s="1"/>
  <c r="DG263" i="1"/>
  <c r="DI263" i="1" s="1"/>
  <c r="DG307" i="1"/>
  <c r="DJ307" i="1" s="1"/>
  <c r="DG200" i="1"/>
  <c r="DI200" i="1" s="1"/>
  <c r="DG293" i="1"/>
  <c r="DI293" i="1" s="1"/>
  <c r="DG264" i="1"/>
  <c r="DI264" i="1" s="1"/>
  <c r="DH371" i="1"/>
  <c r="DJ371" i="1" s="1"/>
  <c r="DG277" i="1"/>
  <c r="DI277" i="1" s="1"/>
  <c r="DG353" i="1"/>
  <c r="DI353" i="1" s="1"/>
  <c r="DG284" i="1"/>
  <c r="DI284" i="1" s="1"/>
  <c r="DG255" i="1"/>
  <c r="DI255" i="1" s="1"/>
  <c r="DG418" i="1"/>
  <c r="DI418" i="1" s="1"/>
  <c r="DG309" i="1"/>
  <c r="DJ309" i="1" s="1"/>
  <c r="DH249" i="1"/>
  <c r="DI249" i="1" s="1"/>
  <c r="DH287" i="1"/>
  <c r="DJ287" i="1" s="1"/>
  <c r="DG18" i="1"/>
  <c r="DI18" i="1" s="1"/>
  <c r="DG165" i="1"/>
  <c r="DI165" i="1" s="1"/>
  <c r="DH334" i="1"/>
  <c r="DI334" i="1" s="1"/>
  <c r="DG419" i="1"/>
  <c r="DI419" i="1" s="1"/>
  <c r="DG123" i="1"/>
  <c r="DI123" i="1" s="1"/>
  <c r="DG250" i="1"/>
  <c r="DI250" i="1" s="1"/>
  <c r="DH78" i="1"/>
  <c r="DI78" i="1" s="1"/>
  <c r="DH128" i="1"/>
  <c r="DI128" i="1" s="1"/>
  <c r="DG225" i="1"/>
  <c r="DI225" i="1" s="1"/>
  <c r="DH90" i="1"/>
  <c r="DI90" i="1" s="1"/>
  <c r="DH117" i="1"/>
  <c r="DI117" i="1" s="1"/>
  <c r="DH282" i="1"/>
  <c r="DI282" i="1" s="1"/>
  <c r="DH3" i="1"/>
  <c r="DJ3" i="1" s="1"/>
  <c r="DH240" i="1"/>
  <c r="DI240" i="1" s="1"/>
  <c r="DH135" i="1"/>
  <c r="DI135" i="1" s="1"/>
  <c r="DI184" i="1"/>
  <c r="DJ361" i="1"/>
  <c r="DJ66" i="1"/>
  <c r="DJ65" i="1"/>
  <c r="DJ448" i="1"/>
  <c r="DJ190" i="1"/>
  <c r="DI188" i="1"/>
  <c r="DI361" i="1"/>
  <c r="DJ450" i="1"/>
  <c r="DJ286" i="1"/>
  <c r="DF467" i="1"/>
  <c r="DJ337" i="1"/>
  <c r="DI286" i="1"/>
  <c r="DJ481" i="1"/>
  <c r="DJ50" i="1"/>
  <c r="DJ349" i="1"/>
  <c r="DJ184" i="1"/>
  <c r="DJ146" i="1"/>
  <c r="DJ113" i="1"/>
  <c r="DI75" i="1"/>
  <c r="DI481" i="1"/>
  <c r="DJ412" i="1"/>
  <c r="DJ318" i="1"/>
  <c r="DJ53" i="1"/>
  <c r="DJ384" i="1"/>
  <c r="DJ173" i="1"/>
  <c r="DJ317" i="1"/>
  <c r="DI489" i="1"/>
  <c r="DJ537" i="1"/>
  <c r="DI537" i="1"/>
  <c r="DI318" i="1"/>
  <c r="DJ433" i="1"/>
  <c r="DI173" i="1"/>
  <c r="DI387" i="1"/>
  <c r="DJ344" i="1"/>
  <c r="DJ458" i="1"/>
  <c r="DJ261" i="1"/>
  <c r="DJ187" i="1"/>
  <c r="DJ495" i="1"/>
  <c r="DJ369" i="1"/>
  <c r="DJ68" i="1"/>
  <c r="DJ167" i="1"/>
  <c r="DJ491" i="1"/>
  <c r="DJ41" i="1"/>
  <c r="DJ55" i="1"/>
  <c r="DJ444" i="1"/>
  <c r="DJ34" i="1"/>
  <c r="DF489" i="1"/>
  <c r="DJ82" i="1"/>
  <c r="DI221" i="1"/>
  <c r="DJ9" i="1"/>
  <c r="DJ64" i="1"/>
  <c r="DJ81" i="1"/>
  <c r="DI82" i="1"/>
  <c r="DI131" i="1"/>
  <c r="DJ489" i="1"/>
  <c r="DI369" i="1"/>
  <c r="DF491" i="1"/>
  <c r="DJ45" i="1"/>
  <c r="DJ327" i="1"/>
  <c r="DF524" i="1"/>
  <c r="DJ230" i="1"/>
  <c r="DJ406" i="1"/>
  <c r="DJ523" i="1"/>
  <c r="DJ221" i="1"/>
  <c r="DJ430" i="1"/>
  <c r="DJ153" i="1"/>
  <c r="DJ452" i="1"/>
  <c r="DJ453" i="1"/>
  <c r="DI495" i="1"/>
  <c r="DI344" i="1"/>
  <c r="DF529" i="1"/>
  <c r="DF472" i="1"/>
  <c r="DI496" i="1"/>
  <c r="DI458" i="1"/>
  <c r="DI196" i="1"/>
  <c r="DI406" i="1"/>
  <c r="DJ387" i="1"/>
  <c r="DI433" i="1"/>
  <c r="DI230" i="1"/>
  <c r="DI502" i="1"/>
  <c r="DI523" i="1"/>
  <c r="DI167" i="1"/>
  <c r="DI315" i="1"/>
  <c r="DI45" i="1"/>
  <c r="DJ219" i="1"/>
  <c r="DI295" i="1"/>
  <c r="DJ524" i="1"/>
  <c r="DF503" i="1"/>
  <c r="DI405" i="1"/>
  <c r="DJ467" i="1"/>
  <c r="DJ19" i="1"/>
  <c r="DJ496" i="1"/>
  <c r="DI203" i="1"/>
  <c r="DJ290" i="1"/>
  <c r="DF496" i="1"/>
  <c r="DI292" i="1"/>
  <c r="DJ500" i="1"/>
  <c r="DJ304" i="1"/>
  <c r="DJ479" i="1"/>
  <c r="DJ295" i="1"/>
  <c r="DI219" i="1"/>
  <c r="DI304" i="1"/>
  <c r="DI409" i="1"/>
  <c r="DI491" i="1"/>
  <c r="DI381" i="1"/>
  <c r="DF272" i="1"/>
  <c r="DI51" i="1"/>
  <c r="DJ494" i="1"/>
  <c r="DJ168" i="1"/>
  <c r="DF499" i="1"/>
  <c r="DJ139" i="1"/>
  <c r="DJ321" i="1"/>
  <c r="DI508" i="1"/>
  <c r="DI104" i="1"/>
  <c r="DI494" i="1"/>
  <c r="DF530" i="1"/>
  <c r="DI176" i="1"/>
  <c r="DI192" i="1"/>
  <c r="DJ359" i="1"/>
  <c r="DJ470" i="1"/>
  <c r="DI514" i="1"/>
  <c r="DI474" i="1"/>
  <c r="DI456" i="1"/>
  <c r="DI220" i="1"/>
  <c r="DJ514" i="1"/>
  <c r="DI94" i="1"/>
  <c r="DJ107" i="1"/>
  <c r="DI490" i="1"/>
  <c r="DI265" i="1"/>
  <c r="DJ16" i="1"/>
  <c r="DF514" i="1"/>
  <c r="DI505" i="1"/>
  <c r="DI313" i="1"/>
  <c r="DJ47" i="1"/>
  <c r="DI105" i="1"/>
  <c r="DI378" i="1"/>
  <c r="DJ441" i="1"/>
  <c r="DI47" i="1"/>
  <c r="DI305" i="1"/>
  <c r="DI459" i="1"/>
  <c r="DJ328" i="1"/>
  <c r="DI183" i="1"/>
  <c r="DI332" i="1"/>
  <c r="DI517" i="1"/>
  <c r="DJ408" i="1"/>
  <c r="DI392" i="1"/>
  <c r="DJ259" i="1"/>
  <c r="DI535" i="1"/>
  <c r="DI425" i="1"/>
  <c r="DI527" i="1"/>
  <c r="DI374" i="1"/>
  <c r="DI120" i="1"/>
  <c r="DI445" i="1"/>
  <c r="DI140" i="1"/>
  <c r="DI377" i="1"/>
  <c r="DI479" i="1"/>
  <c r="DI280" i="1"/>
  <c r="DI503" i="1"/>
  <c r="DI157" i="1"/>
  <c r="DJ313" i="1"/>
  <c r="DI207" i="1"/>
  <c r="DI226" i="1"/>
  <c r="DJ202" i="1"/>
  <c r="DI151" i="1"/>
  <c r="DI348" i="1"/>
  <c r="DJ74" i="1"/>
  <c r="DI223" i="1"/>
  <c r="DI373" i="1"/>
  <c r="DI178" i="1"/>
  <c r="DI460" i="1"/>
  <c r="DI273" i="1"/>
  <c r="DI7" i="1"/>
  <c r="DI520" i="1"/>
  <c r="DI528" i="1"/>
  <c r="DJ385" i="1"/>
  <c r="DI172" i="1"/>
  <c r="DI354" i="1"/>
  <c r="DI298" i="1"/>
  <c r="DI429" i="1"/>
  <c r="DI102" i="1"/>
  <c r="DJ271" i="1"/>
  <c r="DJ324" i="1"/>
  <c r="DI324" i="1"/>
  <c r="DI365" i="1"/>
  <c r="DI127" i="1"/>
  <c r="DI288" i="1"/>
  <c r="DI534" i="1"/>
  <c r="DI518" i="1"/>
  <c r="DI180" i="1"/>
  <c r="DI193" i="1"/>
  <c r="DI423" i="1"/>
  <c r="DI215" i="1"/>
  <c r="DI532" i="1"/>
  <c r="DI162" i="1"/>
  <c r="DI294" i="1"/>
  <c r="DI283" i="1"/>
  <c r="DI342" i="1"/>
  <c r="DI234" i="1"/>
  <c r="DJ14" i="1"/>
  <c r="DI455" i="1"/>
  <c r="DI507" i="1"/>
  <c r="DI521" i="1"/>
  <c r="DI213" i="1"/>
  <c r="DI311" i="1"/>
  <c r="DI161" i="1"/>
  <c r="DI262" i="1"/>
  <c r="DI499" i="1"/>
  <c r="DI504" i="1"/>
  <c r="DI469" i="1"/>
  <c r="DI330" i="1"/>
  <c r="DI329" i="1"/>
  <c r="DI98" i="1"/>
  <c r="DI536" i="1"/>
  <c r="DI351" i="1"/>
  <c r="DI271" i="1"/>
  <c r="DI427" i="1"/>
  <c r="DI202" i="1"/>
  <c r="DI247" i="1"/>
  <c r="DI20" i="1"/>
  <c r="DI531" i="1"/>
  <c r="DI341" i="1"/>
  <c r="DI390" i="1"/>
  <c r="DI87" i="1"/>
  <c r="DI417" i="1"/>
  <c r="DI160" i="1"/>
  <c r="DI516" i="1"/>
  <c r="DI515" i="1"/>
  <c r="DI281" i="1"/>
  <c r="DI486" i="1"/>
  <c r="DI473" i="1"/>
  <c r="DI272" i="1"/>
  <c r="DI480" i="1"/>
  <c r="DJ31" i="1"/>
  <c r="DI468" i="1"/>
  <c r="DI420" i="1"/>
  <c r="DJ234" i="1"/>
  <c r="DJ154" i="1"/>
  <c r="DI154" i="1"/>
  <c r="DJ390" i="1"/>
  <c r="DI510" i="1"/>
  <c r="DI488" i="1"/>
  <c r="DI394" i="1"/>
  <c r="DI142" i="1"/>
  <c r="DJ358" i="1"/>
  <c r="DI526" i="1"/>
  <c r="DI195" i="1"/>
  <c r="DI11" i="1"/>
  <c r="DI482" i="1"/>
  <c r="DI164" i="1"/>
  <c r="DI475" i="1"/>
  <c r="DI487" i="1"/>
  <c r="DJ239" i="1"/>
  <c r="DI239" i="1"/>
  <c r="DI368" i="1"/>
  <c r="DI522" i="1"/>
  <c r="DI328" i="1"/>
  <c r="DI6" i="1"/>
  <c r="DI470" i="1"/>
  <c r="DI21" i="1"/>
  <c r="DI319" i="1"/>
  <c r="DI497" i="1"/>
  <c r="DI484" i="1"/>
  <c r="DI478" i="1"/>
  <c r="DI256" i="1"/>
  <c r="DI529" i="1"/>
  <c r="DI364" i="1"/>
  <c r="DI312" i="1"/>
  <c r="DI89" i="1"/>
  <c r="DI493" i="1"/>
  <c r="DJ278" i="1"/>
  <c r="DI278" i="1"/>
  <c r="DJ170" i="1"/>
  <c r="DI170" i="1"/>
  <c r="DI372" i="1"/>
  <c r="DI441" i="1"/>
  <c r="DI179" i="1"/>
  <c r="DI471" i="1"/>
  <c r="DJ436" i="1"/>
  <c r="DJ201" i="1"/>
  <c r="DI201" i="1"/>
  <c r="DI492" i="1"/>
  <c r="DJ132" i="1"/>
  <c r="DI476" i="1"/>
  <c r="DI204" i="1"/>
  <c r="DI132" i="1"/>
  <c r="DI411" i="1"/>
  <c r="DI472" i="1"/>
  <c r="DI363" i="1"/>
  <c r="DI136" i="1"/>
  <c r="DI379" i="1"/>
  <c r="DI391" i="1"/>
  <c r="DI198" i="1"/>
  <c r="DI513" i="1"/>
  <c r="DI314" i="1"/>
  <c r="DI109" i="1"/>
  <c r="DI385" i="1"/>
  <c r="DI410" i="1"/>
  <c r="DI139" i="1"/>
  <c r="DI483" i="1"/>
  <c r="DI530" i="1"/>
  <c r="DI525" i="1"/>
  <c r="DJ492" i="1"/>
  <c r="DJ89" i="1"/>
  <c r="DJ17" i="1"/>
  <c r="DJ97" i="1"/>
  <c r="DJ487" i="1"/>
  <c r="DJ527" i="1"/>
  <c r="DJ83" i="1"/>
  <c r="DF477" i="1"/>
  <c r="DF475" i="1"/>
  <c r="DF390" i="1"/>
  <c r="DJ342" i="1"/>
  <c r="DJ147" i="1"/>
  <c r="DJ528" i="1"/>
  <c r="DF509" i="1"/>
  <c r="DJ175" i="1"/>
  <c r="DJ365" i="1"/>
  <c r="DJ468" i="1"/>
  <c r="DJ305" i="1"/>
  <c r="DJ393" i="1"/>
  <c r="DJ232" i="1"/>
  <c r="DJ466" i="1"/>
  <c r="DJ508" i="1"/>
  <c r="DJ226" i="1"/>
  <c r="DJ331" i="1"/>
  <c r="DJ272" i="1"/>
  <c r="DF494" i="1"/>
  <c r="DJ248" i="1"/>
  <c r="DJ192" i="1"/>
  <c r="DJ417" i="1"/>
  <c r="DJ522" i="1"/>
  <c r="DJ247" i="1"/>
  <c r="DF518" i="1"/>
  <c r="DJ36" i="1"/>
  <c r="DJ445" i="1"/>
  <c r="DJ94" i="1"/>
  <c r="DJ140" i="1"/>
  <c r="DJ505" i="1"/>
  <c r="DF487" i="1"/>
  <c r="DJ51" i="1"/>
  <c r="DJ292" i="1"/>
  <c r="DJ409" i="1"/>
  <c r="DJ373" i="1"/>
  <c r="DF525" i="1"/>
  <c r="DJ427" i="1"/>
  <c r="DJ377" i="1"/>
  <c r="DJ85" i="1"/>
  <c r="DJ12" i="1"/>
  <c r="DJ351" i="1"/>
  <c r="DJ15" i="1"/>
  <c r="DJ252" i="1"/>
  <c r="DJ104" i="1"/>
  <c r="DJ60" i="1"/>
  <c r="DJ120" i="1"/>
  <c r="DJ183" i="1"/>
  <c r="DJ381" i="1"/>
  <c r="DJ112" i="1"/>
  <c r="DJ449" i="1"/>
  <c r="DJ6" i="1"/>
  <c r="DJ525" i="1"/>
  <c r="DJ162" i="1"/>
  <c r="DJ294" i="1"/>
  <c r="DJ480" i="1"/>
  <c r="DF522" i="1"/>
  <c r="DJ392" i="1"/>
  <c r="DJ63" i="1"/>
  <c r="DJ315" i="1"/>
  <c r="DJ42" i="1"/>
  <c r="DJ28" i="1"/>
  <c r="DJ415" i="1"/>
  <c r="DJ465" i="1"/>
  <c r="DJ513" i="1"/>
  <c r="DJ314" i="1"/>
  <c r="DJ471" i="1"/>
  <c r="DJ455" i="1"/>
  <c r="DJ476" i="1"/>
  <c r="DF476" i="1"/>
  <c r="DJ348" i="1"/>
  <c r="DJ172" i="1"/>
  <c r="DJ298" i="1"/>
  <c r="DJ118" i="1"/>
  <c r="DJ124" i="1"/>
  <c r="DJ207" i="1"/>
  <c r="DJ204" i="1"/>
  <c r="DJ75" i="1"/>
  <c r="DJ372" i="1"/>
  <c r="DF508" i="1"/>
  <c r="DJ447" i="1"/>
  <c r="DJ460" i="1"/>
  <c r="DF490" i="1"/>
  <c r="DJ87" i="1"/>
  <c r="DF510" i="1"/>
  <c r="DF505" i="1"/>
  <c r="DJ423" i="1"/>
  <c r="DJ329" i="1"/>
  <c r="DJ354" i="1"/>
  <c r="DJ319" i="1"/>
  <c r="DJ149" i="1"/>
  <c r="DJ109" i="1"/>
  <c r="DJ368" i="1"/>
  <c r="DF532" i="1"/>
  <c r="DJ179" i="1"/>
  <c r="DJ62" i="1"/>
  <c r="DJ341" i="1"/>
  <c r="DJ136" i="1"/>
  <c r="DJ511" i="1"/>
  <c r="DJ475" i="1"/>
  <c r="DJ391" i="1"/>
  <c r="DJ157" i="1"/>
  <c r="DJ209" i="1"/>
  <c r="DJ473" i="1"/>
  <c r="DJ410" i="1"/>
  <c r="DJ429" i="1"/>
  <c r="DJ536" i="1"/>
  <c r="DJ280" i="1"/>
  <c r="DJ411" i="1"/>
  <c r="DJ11" i="1"/>
  <c r="DJ20" i="1"/>
  <c r="DJ493" i="1"/>
  <c r="DJ378" i="1"/>
  <c r="DJ420" i="1"/>
  <c r="DJ442" i="1"/>
  <c r="DF515" i="1"/>
  <c r="DF470" i="1"/>
  <c r="DJ486" i="1"/>
  <c r="DJ61" i="1"/>
  <c r="DJ503" i="1"/>
  <c r="DJ521" i="1"/>
  <c r="DJ339" i="1"/>
  <c r="DJ129" i="1"/>
  <c r="DJ512" i="1"/>
  <c r="DJ482" i="1"/>
  <c r="DF534" i="1"/>
  <c r="DJ91" i="1"/>
  <c r="DJ312" i="1"/>
  <c r="DF488" i="1"/>
  <c r="DF471" i="1"/>
  <c r="DJ30" i="1"/>
  <c r="DJ22" i="1"/>
  <c r="DJ370" i="1"/>
  <c r="DJ8" i="1"/>
  <c r="DJ532" i="1"/>
  <c r="DJ451" i="1"/>
  <c r="DJ188" i="1"/>
  <c r="DJ398" i="1"/>
  <c r="DJ464" i="1"/>
  <c r="DJ102" i="1"/>
  <c r="DJ363" i="1"/>
  <c r="DJ273" i="1"/>
  <c r="DJ253" i="1"/>
  <c r="DJ145" i="1"/>
  <c r="DJ52" i="1"/>
  <c r="DJ98" i="1"/>
  <c r="DJ33" i="1"/>
  <c r="DJ488" i="1"/>
  <c r="DJ198" i="1"/>
  <c r="DJ535" i="1"/>
  <c r="DJ510" i="1"/>
  <c r="DJ469" i="1"/>
  <c r="DJ518" i="1"/>
  <c r="DF483" i="1"/>
  <c r="DJ364" i="1"/>
  <c r="DJ193" i="1"/>
  <c r="DJ44" i="1"/>
  <c r="DJ346" i="1"/>
  <c r="DJ203" i="1"/>
  <c r="DJ110" i="1"/>
  <c r="DJ46" i="1"/>
  <c r="DF526" i="1"/>
  <c r="DF405" i="1"/>
  <c r="DJ238" i="1"/>
  <c r="DJ223" i="1"/>
  <c r="DJ29" i="1"/>
  <c r="DJ37" i="1"/>
  <c r="DJ306" i="1"/>
  <c r="DJ121" i="1"/>
  <c r="DF463" i="1"/>
  <c r="DJ379" i="1"/>
  <c r="DJ374" i="1"/>
  <c r="DJ257" i="1"/>
  <c r="DJ49" i="1"/>
  <c r="DJ526" i="1"/>
  <c r="DF482" i="1"/>
  <c r="DJ350" i="1"/>
  <c r="DJ54" i="1"/>
  <c r="DJ463" i="1"/>
  <c r="DJ483" i="1"/>
  <c r="DJ13" i="1"/>
  <c r="DJ472" i="1"/>
  <c r="DJ530" i="1"/>
  <c r="DJ27" i="1"/>
  <c r="DJ405" i="1"/>
  <c r="DJ180" i="1"/>
  <c r="DJ509" i="1"/>
  <c r="DJ534" i="1"/>
  <c r="DJ357" i="1"/>
  <c r="DJ215" i="1"/>
  <c r="DJ105" i="1"/>
  <c r="DJ265" i="1"/>
  <c r="DJ88" i="1"/>
  <c r="DJ283" i="1"/>
  <c r="DJ456" i="1"/>
  <c r="DJ213" i="1"/>
  <c r="DJ311" i="1"/>
  <c r="DJ161" i="1"/>
  <c r="DJ142" i="1"/>
  <c r="DJ383" i="1"/>
  <c r="DJ256" i="1"/>
  <c r="DJ160" i="1"/>
  <c r="DJ516" i="1"/>
  <c r="DJ515" i="1"/>
  <c r="DJ281" i="1"/>
  <c r="DJ425" i="1"/>
  <c r="DJ93" i="1"/>
  <c r="DJ164" i="1"/>
  <c r="DJ39" i="1"/>
  <c r="DJ195" i="1"/>
  <c r="DJ151" i="1"/>
  <c r="DJ116" i="1"/>
  <c r="DJ35" i="1"/>
  <c r="DJ394" i="1"/>
  <c r="DJ459" i="1"/>
  <c r="DJ99" i="1"/>
  <c r="DJ478" i="1"/>
  <c r="DJ529" i="1"/>
  <c r="DJ131" i="1"/>
  <c r="DJ497" i="1"/>
  <c r="DJ484" i="1"/>
  <c r="DJ155" i="1"/>
  <c r="DJ332" i="1"/>
  <c r="DJ517" i="1"/>
  <c r="DJ507" i="1"/>
  <c r="DJ7" i="1"/>
  <c r="DJ197" i="1"/>
  <c r="DJ520" i="1"/>
  <c r="DJ76" i="1"/>
  <c r="DJ454" i="1"/>
  <c r="DJ127" i="1"/>
  <c r="DJ288" i="1"/>
  <c r="DJ96" i="1"/>
  <c r="DJ474" i="1"/>
  <c r="DJ490" i="1"/>
  <c r="DJ21" i="1"/>
  <c r="DJ531" i="1"/>
  <c r="DJ40" i="1"/>
  <c r="DJ176" i="1"/>
  <c r="DJ220" i="1"/>
  <c r="DJ262" i="1"/>
  <c r="DJ499" i="1"/>
  <c r="DJ366" i="1"/>
  <c r="DJ504" i="1"/>
  <c r="DJ330" i="1"/>
  <c r="DJ178" i="1"/>
  <c r="H37" i="3"/>
  <c r="P36" i="3"/>
  <c r="O37" i="3" a="1"/>
  <c r="O37" i="3" s="1"/>
  <c r="H36" i="3"/>
  <c r="S35" i="3" a="1"/>
  <c r="S35" i="3" s="1"/>
  <c r="O35" i="3" a="1"/>
  <c r="O35" i="3" s="1"/>
  <c r="L37" i="3"/>
  <c r="K37" i="3" a="1"/>
  <c r="K37" i="3" s="1"/>
  <c r="P35" i="3"/>
  <c r="T36" i="3"/>
  <c r="G35" i="3" a="1"/>
  <c r="G35" i="3" s="1"/>
  <c r="T37" i="3"/>
  <c r="P37" i="3"/>
  <c r="L36" i="3"/>
  <c r="K35" i="3" a="1"/>
  <c r="K35" i="3" s="1"/>
  <c r="S29" i="3" a="1"/>
  <c r="S29" i="3" s="1"/>
  <c r="L29" i="3"/>
  <c r="P29" i="3"/>
  <c r="K29" i="3" a="1"/>
  <c r="K29" i="3" s="1"/>
  <c r="K36" i="3" a="1"/>
  <c r="K36" i="3" s="1"/>
  <c r="S37" i="3" a="1"/>
  <c r="S37" i="3" s="1"/>
  <c r="L35" i="3"/>
  <c r="T35" i="3"/>
  <c r="T29" i="3"/>
  <c r="F35" i="3"/>
  <c r="G29" i="3" a="1"/>
  <c r="G29" i="3" s="1"/>
  <c r="S36" i="3" a="1"/>
  <c r="S36" i="3" s="1"/>
  <c r="G37" i="3" a="1"/>
  <c r="G37" i="3" s="1"/>
  <c r="H35" i="3"/>
  <c r="H29" i="3"/>
  <c r="G36" i="3" a="1"/>
  <c r="G36" i="3" s="1"/>
  <c r="O36" i="3" a="1"/>
  <c r="O36" i="3" s="1"/>
  <c r="O29" i="3" a="1"/>
  <c r="O29" i="3" s="1"/>
  <c r="F29" i="3"/>
  <c r="AD12" i="13"/>
  <c r="AG9" i="13"/>
  <c r="AC9" i="13"/>
  <c r="AC29" i="13"/>
  <c r="AD13" i="13"/>
  <c r="AD29" i="13"/>
  <c r="AE9" i="13"/>
  <c r="AE29" i="13"/>
  <c r="AQ19" i="13"/>
  <c r="AQ25" i="13"/>
  <c r="AE13" i="13"/>
  <c r="AG13" i="13"/>
  <c r="AD14" i="13"/>
  <c r="AE11" i="13"/>
  <c r="AD9" i="13"/>
  <c r="AG10" i="13"/>
  <c r="AF12" i="13"/>
  <c r="AF29" i="13"/>
  <c r="AF10" i="13"/>
  <c r="AF14" i="13"/>
  <c r="AF9" i="13"/>
  <c r="AD10" i="13"/>
  <c r="AU20" i="13"/>
  <c r="AT20" i="13"/>
  <c r="AS20" i="13"/>
  <c r="AR20" i="13"/>
  <c r="AQ20" i="13"/>
  <c r="AN26" i="13"/>
  <c r="AN22" i="13"/>
  <c r="AN18" i="13"/>
  <c r="AN14" i="13"/>
  <c r="AN10" i="13"/>
  <c r="AN27" i="13"/>
  <c r="AN19" i="13"/>
  <c r="AN25" i="13"/>
  <c r="AN21" i="13"/>
  <c r="AN17" i="13"/>
  <c r="AN13" i="13"/>
  <c r="AN9" i="13"/>
  <c r="AN11" i="13"/>
  <c r="AN28" i="13"/>
  <c r="AN24" i="13"/>
  <c r="AN20" i="13"/>
  <c r="AN16" i="13"/>
  <c r="AN12" i="13"/>
  <c r="AN23" i="13"/>
  <c r="AN15" i="13"/>
  <c r="AM26" i="13"/>
  <c r="AM22" i="13"/>
  <c r="AM18" i="13"/>
  <c r="AM14" i="13"/>
  <c r="AM10" i="13"/>
  <c r="AM25" i="13"/>
  <c r="AM21" i="13"/>
  <c r="AM17" i="13"/>
  <c r="AM13" i="13"/>
  <c r="AM9" i="13"/>
  <c r="AM28" i="13"/>
  <c r="AM24" i="13"/>
  <c r="AM20" i="13"/>
  <c r="AM16" i="13"/>
  <c r="AM12" i="13"/>
  <c r="AM27" i="13"/>
  <c r="AM11" i="13"/>
  <c r="AM15" i="13"/>
  <c r="AM23" i="13"/>
  <c r="AM19" i="13"/>
  <c r="AY14" i="13"/>
  <c r="AY10" i="13"/>
  <c r="AY13" i="13"/>
  <c r="AY9" i="13"/>
  <c r="AY12" i="13"/>
  <c r="AY11" i="13"/>
  <c r="AY15" i="13"/>
  <c r="AY16" i="13"/>
  <c r="AY17" i="13"/>
  <c r="AY18" i="13"/>
  <c r="AQ10" i="13"/>
  <c r="AQ13" i="13"/>
  <c r="AQ9" i="13"/>
  <c r="AQ11" i="13"/>
  <c r="AQ12" i="13"/>
  <c r="AQ14" i="13"/>
  <c r="AQ16" i="13"/>
  <c r="AQ15" i="13"/>
  <c r="AQ17" i="13"/>
  <c r="AQ18" i="13"/>
  <c r="AT11" i="13"/>
  <c r="AT10" i="13"/>
  <c r="AT13" i="13"/>
  <c r="AT9" i="13"/>
  <c r="AT12" i="13"/>
  <c r="AT14" i="13"/>
  <c r="AT16" i="13"/>
  <c r="AT15" i="13"/>
  <c r="AT17" i="13"/>
  <c r="AT18" i="13"/>
  <c r="AL26" i="13"/>
  <c r="AL22" i="13"/>
  <c r="AL18" i="13"/>
  <c r="AL14" i="13"/>
  <c r="AL10" i="13"/>
  <c r="AL25" i="13"/>
  <c r="AL21" i="13"/>
  <c r="AL17" i="13"/>
  <c r="AL13" i="13"/>
  <c r="AL9" i="13"/>
  <c r="AL28" i="13"/>
  <c r="AL24" i="13"/>
  <c r="AL20" i="13"/>
  <c r="AL16" i="13"/>
  <c r="AL12" i="13"/>
  <c r="AL15" i="13"/>
  <c r="AL27" i="13"/>
  <c r="AL11" i="13"/>
  <c r="AL19" i="13"/>
  <c r="AL23" i="13"/>
  <c r="AU13" i="13"/>
  <c r="AU9" i="13"/>
  <c r="AU12" i="13"/>
  <c r="AU11" i="13"/>
  <c r="AU10" i="13"/>
  <c r="AU14" i="13"/>
  <c r="AU16" i="13"/>
  <c r="AU15" i="13"/>
  <c r="AU17" i="13"/>
  <c r="AU18" i="13"/>
  <c r="AX11" i="13"/>
  <c r="AX14" i="13"/>
  <c r="AX10" i="13"/>
  <c r="AX13" i="13"/>
  <c r="AX9" i="13"/>
  <c r="AX12" i="13"/>
  <c r="AX15" i="13"/>
  <c r="AX16" i="13"/>
  <c r="AX17" i="13"/>
  <c r="AX18" i="13"/>
  <c r="AX19" i="13"/>
  <c r="BA20" i="13"/>
  <c r="BB20" i="13"/>
  <c r="AZ20" i="13"/>
  <c r="AY20" i="13"/>
  <c r="AX20" i="13"/>
  <c r="AK26" i="13"/>
  <c r="AK22" i="13"/>
  <c r="AK18" i="13"/>
  <c r="AK14" i="13"/>
  <c r="AK10" i="13"/>
  <c r="AK25" i="13"/>
  <c r="AK21" i="13"/>
  <c r="AK17" i="13"/>
  <c r="AK13" i="13"/>
  <c r="AK9" i="13"/>
  <c r="AK28" i="13"/>
  <c r="AK24" i="13"/>
  <c r="AK20" i="13"/>
  <c r="AK16" i="13"/>
  <c r="AK12" i="13"/>
  <c r="AK19" i="13"/>
  <c r="AK23" i="13"/>
  <c r="AK15" i="13"/>
  <c r="AK27" i="13"/>
  <c r="AK11" i="13"/>
  <c r="AS11" i="13"/>
  <c r="AS12" i="13"/>
  <c r="AS10" i="13"/>
  <c r="AS9" i="13"/>
  <c r="AS13" i="13"/>
  <c r="AS14" i="13"/>
  <c r="AS15" i="13"/>
  <c r="AS16" i="13"/>
  <c r="AS17" i="13"/>
  <c r="AS18" i="13"/>
  <c r="BB14" i="13"/>
  <c r="BB10" i="13"/>
  <c r="BB13" i="13"/>
  <c r="BB9" i="13"/>
  <c r="BB12" i="13"/>
  <c r="BB11" i="13"/>
  <c r="BB15" i="13"/>
  <c r="BB16" i="13"/>
  <c r="BB17" i="13"/>
  <c r="BB18" i="13"/>
  <c r="AJ26" i="13"/>
  <c r="AJ22" i="13"/>
  <c r="AJ18" i="13"/>
  <c r="AJ14" i="13"/>
  <c r="AJ10" i="13"/>
  <c r="AJ25" i="13"/>
  <c r="AJ21" i="13"/>
  <c r="AJ17" i="13"/>
  <c r="AJ13" i="13"/>
  <c r="AJ9" i="13"/>
  <c r="AJ12" i="13"/>
  <c r="AJ28" i="13"/>
  <c r="AJ24" i="13"/>
  <c r="AJ20" i="13"/>
  <c r="AJ16" i="13"/>
  <c r="AJ23" i="13"/>
  <c r="AJ11" i="13"/>
  <c r="AJ19" i="13"/>
  <c r="AJ15" i="13"/>
  <c r="AJ27" i="13"/>
  <c r="AU19" i="13"/>
  <c r="BA12" i="13"/>
  <c r="BA11" i="13"/>
  <c r="BA10" i="13"/>
  <c r="BA9" i="13"/>
  <c r="BA14" i="13"/>
  <c r="BA13" i="13"/>
  <c r="BA15" i="13"/>
  <c r="BA16" i="13"/>
  <c r="BA17" i="13"/>
  <c r="BA18" i="13"/>
  <c r="AR13" i="13"/>
  <c r="AR12" i="13"/>
  <c r="AR9" i="13"/>
  <c r="AR11" i="13"/>
  <c r="AR10" i="13"/>
  <c r="AR14" i="13"/>
  <c r="AR15" i="13"/>
  <c r="AR16" i="13"/>
  <c r="AR17" i="13"/>
  <c r="AR18" i="13"/>
  <c r="AZ14" i="13"/>
  <c r="AZ10" i="13"/>
  <c r="AZ13" i="13"/>
  <c r="AZ9" i="13"/>
  <c r="AZ12" i="13"/>
  <c r="AZ11" i="13"/>
  <c r="AZ15" i="13"/>
  <c r="AZ16" i="13"/>
  <c r="AZ17" i="13"/>
  <c r="AZ18" i="13"/>
  <c r="AF15" i="13"/>
  <c r="AG15" i="13"/>
  <c r="AC15" i="13"/>
  <c r="AD15" i="13"/>
  <c r="AE15" i="13"/>
  <c r="J37" i="3"/>
  <c r="Q36" i="3"/>
  <c r="M36" i="3"/>
  <c r="J36" i="3"/>
  <c r="R36" i="3"/>
  <c r="F36" i="3"/>
  <c r="U36" i="3"/>
  <c r="C36" i="3"/>
  <c r="I36" i="3"/>
  <c r="M35" i="3"/>
  <c r="U37" i="3"/>
  <c r="I35" i="3"/>
  <c r="Q37" i="3"/>
  <c r="J35" i="3"/>
  <c r="N36" i="3"/>
  <c r="R37" i="3"/>
  <c r="C35" i="3"/>
  <c r="R35" i="3"/>
  <c r="C37" i="3"/>
  <c r="N37" i="3"/>
  <c r="N35" i="3"/>
  <c r="I37" i="3"/>
  <c r="M37" i="3"/>
  <c r="Q35" i="3"/>
  <c r="F37" i="3"/>
  <c r="U35" i="3"/>
  <c r="C39" i="3"/>
  <c r="N29" i="3"/>
  <c r="J29" i="3"/>
  <c r="C28" i="3"/>
  <c r="D28" i="3" s="1"/>
  <c r="R29" i="3"/>
  <c r="U29" i="3"/>
  <c r="C29" i="3"/>
  <c r="I29" i="3"/>
  <c r="Q29" i="3"/>
  <c r="M29" i="3"/>
  <c r="CT380" i="1"/>
  <c r="CV380" i="1" s="1"/>
  <c r="CT357" i="1"/>
  <c r="CU357" i="1"/>
  <c r="CU272" i="1"/>
  <c r="CT272" i="1"/>
  <c r="CU352" i="1"/>
  <c r="CT352" i="1"/>
  <c r="CT405" i="1"/>
  <c r="CU405" i="1"/>
  <c r="CU390" i="1"/>
  <c r="CT390" i="1"/>
  <c r="E57" i="6"/>
  <c r="E56" i="6"/>
  <c r="E55" i="6"/>
  <c r="E54" i="6"/>
  <c r="E53" i="6"/>
  <c r="E52" i="6"/>
  <c r="E51" i="6"/>
  <c r="E50" i="6"/>
  <c r="E49" i="6"/>
  <c r="E48" i="6"/>
  <c r="E47" i="6"/>
  <c r="E46" i="6"/>
  <c r="E45" i="6"/>
  <c r="E44" i="6"/>
  <c r="E43" i="6"/>
  <c r="E42" i="6"/>
  <c r="E41" i="6"/>
  <c r="E40" i="6"/>
  <c r="E39" i="6"/>
  <c r="E38" i="6"/>
  <c r="E37" i="6"/>
  <c r="E36" i="6"/>
  <c r="E35" i="6"/>
  <c r="E34" i="6"/>
  <c r="E32" i="6"/>
  <c r="E31" i="6"/>
  <c r="E30" i="6"/>
  <c r="E29" i="6"/>
  <c r="E27" i="6"/>
  <c r="E25" i="6"/>
  <c r="E24" i="6"/>
  <c r="E23" i="6"/>
  <c r="E12" i="6"/>
  <c r="E11" i="6"/>
  <c r="E7" i="6"/>
  <c r="E4" i="6"/>
  <c r="DJ159" i="1" l="1"/>
  <c r="DJ462" i="1"/>
  <c r="DJ222" i="1"/>
  <c r="DJ229" i="1"/>
  <c r="DJ70" i="1"/>
  <c r="DJ334" i="1"/>
  <c r="DJ18" i="1"/>
  <c r="DJ243" i="1"/>
  <c r="DJ260" i="1"/>
  <c r="DJ322" i="1"/>
  <c r="DJ284" i="1"/>
  <c r="DJ498" i="1"/>
  <c r="DJ402" i="1"/>
  <c r="DJ302" i="1"/>
  <c r="DJ437" i="1"/>
  <c r="DJ128" i="1"/>
  <c r="DJ407" i="1"/>
  <c r="DJ316" i="1"/>
  <c r="DJ67" i="1"/>
  <c r="DJ165" i="1"/>
  <c r="DJ108" i="1"/>
  <c r="DJ396" i="1"/>
  <c r="DJ79" i="1"/>
  <c r="DJ194" i="1"/>
  <c r="DJ241" i="1"/>
  <c r="DJ356" i="1"/>
  <c r="DJ90" i="1"/>
  <c r="DJ186" i="1"/>
  <c r="DJ115" i="1"/>
  <c r="DK534" i="1"/>
  <c r="DK529" i="1"/>
  <c r="DJ285" i="1"/>
  <c r="DK537" i="1"/>
  <c r="DK513" i="1"/>
  <c r="DK536" i="1"/>
  <c r="DK527" i="1"/>
  <c r="DJ237" i="1"/>
  <c r="DK531" i="1"/>
  <c r="DJ264" i="1"/>
  <c r="DJ72" i="1"/>
  <c r="DJ338" i="1"/>
  <c r="DJ457" i="1"/>
  <c r="DJ235" i="1"/>
  <c r="DJ296" i="1"/>
  <c r="DJ343" i="1"/>
  <c r="DJ376" i="1"/>
  <c r="DJ182" i="1"/>
  <c r="DJ174" i="1"/>
  <c r="DJ206" i="1"/>
  <c r="DJ78" i="1"/>
  <c r="DJ245" i="1"/>
  <c r="DJ135" i="1"/>
  <c r="DJ138" i="1"/>
  <c r="DJ249" i="1"/>
  <c r="DJ279" i="1"/>
  <c r="DJ119" i="1"/>
  <c r="DJ301" i="1"/>
  <c r="DJ254" i="1"/>
  <c r="DJ233" i="1"/>
  <c r="DJ300" i="1"/>
  <c r="DJ231" i="1"/>
  <c r="DJ310" i="1"/>
  <c r="DJ323" i="1"/>
  <c r="DI210" i="1"/>
  <c r="DJ123" i="1"/>
  <c r="DJ211" i="1"/>
  <c r="DJ95" i="1"/>
  <c r="DI23" i="1"/>
  <c r="DJ335" i="1"/>
  <c r="DJ246" i="1"/>
  <c r="DJ263" i="1"/>
  <c r="DJ353" i="1"/>
  <c r="DJ200" i="1"/>
  <c r="DJ163" i="1"/>
  <c r="DJ156" i="1"/>
  <c r="DJ218" i="1"/>
  <c r="DI426" i="1"/>
  <c r="DI103" i="1"/>
  <c r="DJ291" i="1"/>
  <c r="DJ308" i="1"/>
  <c r="DJ506" i="1"/>
  <c r="DJ86" i="1"/>
  <c r="DJ80" i="1"/>
  <c r="DI158" i="1"/>
  <c r="DJ345" i="1"/>
  <c r="DJ208" i="1"/>
  <c r="DJ389" i="1"/>
  <c r="DJ418" i="1"/>
  <c r="DJ122" i="1"/>
  <c r="DJ519" i="1"/>
  <c r="DJ282" i="1"/>
  <c r="DJ117" i="1"/>
  <c r="DJ266" i="1"/>
  <c r="DJ101" i="1"/>
  <c r="DJ293" i="1"/>
  <c r="DJ150" i="1"/>
  <c r="DI92" i="1"/>
  <c r="DJ48" i="1"/>
  <c r="DJ375" i="1"/>
  <c r="DJ181" i="1"/>
  <c r="DJ250" i="1"/>
  <c r="DI148" i="1"/>
  <c r="DJ143" i="1"/>
  <c r="DJ214" i="1"/>
  <c r="DJ217" i="1"/>
  <c r="DJ400" i="1"/>
  <c r="DJ133" i="1"/>
  <c r="DJ227" i="1"/>
  <c r="DJ225" i="1"/>
  <c r="DJ325" i="1"/>
  <c r="DJ205" i="1"/>
  <c r="DJ84" i="1"/>
  <c r="DJ277" i="1"/>
  <c r="DJ240" i="1"/>
  <c r="DI297" i="1"/>
  <c r="DJ228" i="1"/>
  <c r="DJ477" i="1"/>
  <c r="DJ388" i="1"/>
  <c r="DI309" i="1"/>
  <c r="DI71" i="1"/>
  <c r="DI56" i="1"/>
  <c r="DI191" i="1"/>
  <c r="DI303" i="1"/>
  <c r="DI224" i="1"/>
  <c r="DI367" i="1"/>
  <c r="DJ419" i="1"/>
  <c r="DJ336" i="1"/>
  <c r="DI242" i="1"/>
  <c r="DJ340" i="1"/>
  <c r="DJ258" i="1"/>
  <c r="DJ58" i="1"/>
  <c r="DJ59" i="1"/>
  <c r="DJ25" i="1"/>
  <c r="DJ134" i="1"/>
  <c r="DJ255" i="1"/>
  <c r="DJ360" i="1"/>
  <c r="DI299" i="1"/>
  <c r="DI333" i="1"/>
  <c r="DI401" i="1"/>
  <c r="DI382" i="1"/>
  <c r="DJ125" i="1"/>
  <c r="DJ251" i="1"/>
  <c r="DI287" i="1"/>
  <c r="DI371" i="1"/>
  <c r="DI307" i="1"/>
  <c r="DI443" i="1"/>
  <c r="DI395" i="1"/>
  <c r="DI171" i="1"/>
  <c r="DI397" i="1"/>
  <c r="DI106" i="1"/>
  <c r="DI141" i="1"/>
  <c r="DI416" i="1"/>
  <c r="DI126" i="1"/>
  <c r="DJ320" i="1"/>
  <c r="DI236" i="1"/>
  <c r="DI100" i="1"/>
  <c r="DI485" i="1"/>
  <c r="AU21" i="13"/>
  <c r="AT21" i="13"/>
  <c r="AR21" i="13"/>
  <c r="AS21" i="13"/>
  <c r="AQ21" i="13"/>
  <c r="BB21" i="13"/>
  <c r="AZ21" i="13"/>
  <c r="AY21" i="13"/>
  <c r="BA21" i="13"/>
  <c r="AX21" i="13"/>
  <c r="AG16" i="13"/>
  <c r="AF16" i="13"/>
  <c r="AC16" i="13"/>
  <c r="AE16" i="13"/>
  <c r="AD16" i="13"/>
  <c r="D35" i="3"/>
  <c r="D36" i="3"/>
  <c r="D37" i="3"/>
  <c r="D29" i="3"/>
  <c r="D39" i="3"/>
  <c r="CV352" i="1"/>
  <c r="CV272" i="1"/>
  <c r="CV357" i="1"/>
  <c r="CV405" i="1"/>
  <c r="CV390" i="1"/>
  <c r="CM142" i="1"/>
  <c r="CM36" i="1"/>
  <c r="CM40" i="1"/>
  <c r="CM185" i="1"/>
  <c r="CM46" i="1"/>
  <c r="CM408" i="1"/>
  <c r="CM247" i="1"/>
  <c r="CM320" i="1"/>
  <c r="CM134" i="1"/>
  <c r="CM221" i="1"/>
  <c r="CM9" i="1"/>
  <c r="CM15" i="1"/>
  <c r="CM222" i="1"/>
  <c r="CM362" i="1"/>
  <c r="CM400" i="1"/>
  <c r="CM250" i="1"/>
  <c r="CM129" i="1"/>
  <c r="CM93" i="1"/>
  <c r="CM326" i="1"/>
  <c r="CM38" i="1"/>
  <c r="CM373" i="1"/>
  <c r="CM139" i="1"/>
  <c r="CM406" i="1"/>
  <c r="CM386" i="1"/>
  <c r="CM234" i="1"/>
  <c r="CM14" i="1"/>
  <c r="CM278" i="1"/>
  <c r="CM83" i="1"/>
  <c r="CM366" i="1"/>
  <c r="CM197" i="1"/>
  <c r="CM418" i="1"/>
  <c r="CM423" i="1"/>
  <c r="CM33" i="1"/>
  <c r="CM147" i="1"/>
  <c r="CM54" i="1"/>
  <c r="CM409" i="1"/>
  <c r="CM135" i="1"/>
  <c r="CM395" i="1"/>
  <c r="CM120" i="1"/>
  <c r="CM339" i="1"/>
  <c r="CM205" i="1"/>
  <c r="CM6" i="1"/>
  <c r="CM5" i="1"/>
  <c r="CM284" i="1"/>
  <c r="CM321" i="1"/>
  <c r="CM370" i="1"/>
  <c r="CM333" i="1"/>
  <c r="CM91" i="1"/>
  <c r="CM8" i="1"/>
  <c r="CM35" i="1"/>
  <c r="CM119" i="1"/>
  <c r="CM364" i="1"/>
  <c r="CM165" i="1"/>
  <c r="CM293" i="1"/>
  <c r="CM42" i="1"/>
  <c r="CM44" i="1"/>
  <c r="CM269" i="1"/>
  <c r="CM367" i="1"/>
  <c r="CM29" i="1"/>
  <c r="CM416" i="1"/>
  <c r="CM287" i="1"/>
  <c r="CM394" i="1"/>
  <c r="CM385" i="1"/>
  <c r="CM77" i="1"/>
  <c r="CM413" i="1"/>
  <c r="CM76" i="1"/>
  <c r="CM279" i="1"/>
  <c r="CM261" i="1"/>
  <c r="CM381" i="1"/>
  <c r="CM330" i="1"/>
  <c r="CM301" i="1"/>
  <c r="CM133" i="1"/>
  <c r="CM376" i="1"/>
  <c r="CM436" i="1"/>
  <c r="CM268" i="1"/>
  <c r="CM267" i="1"/>
  <c r="CM428" i="1"/>
  <c r="CM312" i="1"/>
  <c r="CM424" i="1"/>
  <c r="CM433" i="1"/>
  <c r="CM266" i="1"/>
  <c r="CM427" i="1"/>
  <c r="CM208" i="1"/>
  <c r="CM369" i="1"/>
  <c r="CM377" i="1"/>
  <c r="CM203" i="1"/>
  <c r="CM359" i="1"/>
  <c r="CM170" i="1"/>
  <c r="CM404" i="1"/>
  <c r="CM388" i="1"/>
  <c r="CM169" i="1"/>
  <c r="CM378" i="1"/>
  <c r="CM340" i="1"/>
  <c r="CM41" i="1"/>
  <c r="CM49" i="1"/>
  <c r="CM28" i="1"/>
  <c r="CM242" i="1"/>
  <c r="CM303" i="1"/>
  <c r="CM407" i="1"/>
  <c r="CM411" i="1"/>
  <c r="CM419" i="1"/>
  <c r="CM273" i="1"/>
  <c r="CM34" i="1"/>
  <c r="CM241" i="1"/>
  <c r="CM291" i="1"/>
  <c r="CM260" i="1"/>
  <c r="CM146" i="1"/>
  <c r="CM180" i="1"/>
  <c r="CM239" i="1"/>
  <c r="CM358" i="1"/>
  <c r="CM420" i="1"/>
  <c r="CM325" i="1"/>
  <c r="CM270" i="1"/>
  <c r="CM160" i="1"/>
  <c r="CM429" i="1"/>
  <c r="CM121" i="1"/>
  <c r="CM94" i="1"/>
  <c r="CM82" i="1"/>
  <c r="CM171" i="1"/>
  <c r="CM441" i="1"/>
  <c r="CM57" i="1"/>
  <c r="CM443" i="1"/>
  <c r="CM347" i="1"/>
  <c r="CM360" i="1"/>
  <c r="CM235" i="1"/>
  <c r="CM64" i="1"/>
  <c r="CM238" i="1"/>
  <c r="CM79" i="1"/>
  <c r="CM26" i="1"/>
  <c r="CM32" i="1"/>
  <c r="CM27" i="1"/>
  <c r="CM17" i="1"/>
  <c r="CM398" i="1"/>
  <c r="CM52" i="1"/>
  <c r="CM249" i="1"/>
  <c r="CM412" i="1"/>
  <c r="CM220" i="1"/>
  <c r="CM350" i="1"/>
  <c r="CM224" i="1"/>
  <c r="CM444" i="1"/>
  <c r="CM355" i="1"/>
  <c r="CM182" i="1"/>
  <c r="CM124" i="1"/>
  <c r="CM53" i="1"/>
  <c r="CM383" i="1"/>
  <c r="CM430" i="1"/>
  <c r="CM56" i="1"/>
  <c r="CM282" i="1"/>
  <c r="CM23" i="1"/>
  <c r="CM173" i="1"/>
  <c r="CM80" i="1"/>
  <c r="CM306" i="1"/>
  <c r="CM10" i="1"/>
  <c r="CM37" i="1"/>
  <c r="CM130" i="1"/>
  <c r="CM375" i="1"/>
  <c r="CM403" i="1"/>
  <c r="CM421" i="1"/>
  <c r="CM314" i="1"/>
  <c r="CM289" i="1"/>
  <c r="CM162" i="1"/>
  <c r="CM415" i="1"/>
  <c r="CM290" i="1"/>
  <c r="CM426" i="1"/>
  <c r="CM201" i="1"/>
  <c r="CM365" i="1"/>
  <c r="CM346" i="1"/>
  <c r="CM97" i="1"/>
  <c r="CM283" i="1"/>
  <c r="CM354" i="1"/>
  <c r="CM48" i="1"/>
  <c r="CM71" i="1"/>
  <c r="CM397" i="1"/>
  <c r="CM157" i="1"/>
  <c r="CM294" i="1"/>
  <c r="CM62" i="1"/>
  <c r="CM264" i="1"/>
  <c r="CM410" i="1"/>
  <c r="CM74" i="1"/>
  <c r="CM227" i="1"/>
  <c r="CM7" i="1"/>
  <c r="CM89" i="1"/>
  <c r="CM87" i="1"/>
  <c r="CM384" i="1"/>
  <c r="CM336" i="1"/>
  <c r="CM396" i="1"/>
  <c r="CM95" i="1"/>
  <c r="CM127" i="1"/>
  <c r="CM149" i="1"/>
  <c r="CM341" i="1"/>
  <c r="CM18" i="1"/>
  <c r="CM186" i="1"/>
  <c r="CM90" i="1"/>
  <c r="CM39" i="1"/>
  <c r="CM215" i="1"/>
  <c r="CM101" i="1"/>
  <c r="CM422" i="1"/>
  <c r="CM13" i="1"/>
  <c r="CM231" i="1"/>
  <c r="CM145" i="1"/>
  <c r="CM288" i="1"/>
  <c r="CM263" i="1"/>
  <c r="CM302" i="1"/>
  <c r="CM435" i="1"/>
  <c r="CM109" i="1"/>
  <c r="CM295" i="1"/>
  <c r="CM68" i="1"/>
  <c r="CM229" i="1"/>
  <c r="CM225" i="1"/>
  <c r="CM213" i="1"/>
  <c r="CM219" i="1"/>
  <c r="CM154" i="1"/>
  <c r="CM402" i="1"/>
  <c r="CM161" i="1"/>
  <c r="CM141" i="1"/>
  <c r="CM437" i="1"/>
  <c r="CM11" i="1"/>
  <c r="CM212" i="1"/>
  <c r="CM379" i="1"/>
  <c r="CM176" i="1"/>
  <c r="CM255" i="1"/>
  <c r="CM305" i="1"/>
  <c r="CM258" i="1"/>
  <c r="CM307" i="1"/>
  <c r="CM417" i="1"/>
  <c r="CM116" i="1"/>
  <c r="CM319" i="1"/>
  <c r="CM65" i="1"/>
  <c r="CM275" i="1"/>
  <c r="CM372" i="1"/>
  <c r="CM196" i="1"/>
  <c r="CM382" i="1"/>
  <c r="CM188" i="1"/>
  <c r="CM60" i="1"/>
  <c r="CM210" i="1"/>
  <c r="CM334" i="1"/>
  <c r="CM348" i="1"/>
  <c r="CM344" i="1"/>
  <c r="CM236" i="1"/>
  <c r="CM240" i="1"/>
  <c r="CM389" i="1"/>
  <c r="CM256" i="1"/>
  <c r="CM318" i="1"/>
  <c r="CM262" i="1"/>
  <c r="CM184" i="1"/>
  <c r="CM391" i="1"/>
  <c r="CM131" i="1"/>
  <c r="CM86" i="1"/>
  <c r="CM137" i="1"/>
  <c r="CM138" i="1"/>
  <c r="CM216" i="1"/>
  <c r="CM316" i="1"/>
  <c r="CM122" i="1"/>
  <c r="CM434" i="1"/>
  <c r="CM298" i="1"/>
  <c r="CM245" i="1"/>
  <c r="CM191" i="1"/>
  <c r="CM315" i="1"/>
  <c r="CM167" i="1"/>
  <c r="CM202" i="1"/>
  <c r="CM393" i="1"/>
  <c r="CM198" i="1"/>
  <c r="CM271" i="1"/>
  <c r="CM304" i="1"/>
  <c r="CM265" i="1"/>
  <c r="CM150" i="1"/>
  <c r="CM338" i="1"/>
  <c r="CM440" i="1"/>
  <c r="CM226" i="1"/>
  <c r="CM233" i="1"/>
  <c r="CM118" i="1"/>
  <c r="CM248" i="1"/>
  <c r="CM102" i="1"/>
  <c r="CM20" i="1"/>
  <c r="CM136" i="1"/>
  <c r="CM96" i="1"/>
  <c r="CM21" i="1"/>
  <c r="CM299" i="1"/>
  <c r="CM414" i="1"/>
  <c r="CM324" i="1"/>
  <c r="CM61" i="1"/>
  <c r="CM204" i="1"/>
  <c r="CM254" i="1"/>
  <c r="CM98" i="1"/>
  <c r="CM148" i="1"/>
  <c r="CM230" i="1"/>
  <c r="CM297" i="1"/>
  <c r="CM16" i="1"/>
  <c r="CM73" i="1"/>
  <c r="CM228" i="1"/>
  <c r="CM155" i="1"/>
  <c r="CM174" i="1"/>
  <c r="CM310" i="1"/>
  <c r="CM92" i="1"/>
  <c r="CM285" i="1"/>
  <c r="CM332" i="1"/>
  <c r="CM356" i="1"/>
  <c r="CM183" i="1"/>
  <c r="CM223" i="1"/>
  <c r="CM45" i="1"/>
  <c r="CM181" i="1"/>
  <c r="CM172" i="1"/>
  <c r="CM337" i="1"/>
  <c r="CM78" i="1"/>
  <c r="CM313" i="1"/>
  <c r="CM363" i="1"/>
  <c r="CM277" i="1"/>
  <c r="CM178" i="1"/>
  <c r="CM442" i="1"/>
  <c r="CM237" i="1"/>
  <c r="CM177" i="1"/>
  <c r="CM438" i="1"/>
  <c r="CM117" i="1"/>
  <c r="CM211" i="1"/>
  <c r="CM276" i="1"/>
  <c r="CM329" i="1"/>
  <c r="CM67" i="1"/>
  <c r="CM104" i="1"/>
  <c r="CM66" i="1"/>
  <c r="CM439" i="1"/>
  <c r="CM308" i="1"/>
  <c r="CM166" i="1"/>
  <c r="CM374" i="1"/>
  <c r="CM425" i="1"/>
  <c r="CM187" i="1"/>
  <c r="CM243" i="1"/>
  <c r="CM353" i="1"/>
  <c r="CM368" i="1"/>
  <c r="CM152" i="1"/>
  <c r="CM296" i="1"/>
  <c r="CM189" i="1"/>
  <c r="CM300" i="1"/>
  <c r="CM246" i="1"/>
  <c r="CM31" i="1"/>
  <c r="CM331" i="1"/>
  <c r="CM322" i="1"/>
  <c r="CM84" i="1"/>
  <c r="CM335" i="1"/>
  <c r="CM107" i="1"/>
  <c r="CM199" i="1"/>
  <c r="CM218" i="1"/>
  <c r="CM371" i="1"/>
  <c r="CM251" i="1"/>
  <c r="CM192" i="1"/>
  <c r="CM194" i="1"/>
  <c r="CM75" i="1"/>
  <c r="CM125" i="1"/>
  <c r="CM343" i="1"/>
  <c r="CM323" i="1"/>
  <c r="CM143" i="1"/>
  <c r="CM200" i="1"/>
  <c r="CM123" i="1"/>
  <c r="CM292" i="1"/>
  <c r="CM342" i="1"/>
  <c r="CM105" i="1"/>
  <c r="CM253" i="1"/>
  <c r="CM163" i="1"/>
  <c r="CM195" i="1"/>
  <c r="CM401" i="1"/>
  <c r="CM328" i="1"/>
  <c r="CM232" i="1"/>
  <c r="CM72" i="1"/>
  <c r="CM286" i="1"/>
  <c r="CM12" i="1"/>
  <c r="CM51" i="1"/>
  <c r="CM50" i="1"/>
  <c r="CM399" i="1"/>
  <c r="CM151" i="1"/>
  <c r="CM345" i="1"/>
  <c r="CM70" i="1"/>
  <c r="CM30" i="1"/>
  <c r="CM207" i="1"/>
  <c r="CM193" i="1"/>
  <c r="CM100" i="1"/>
  <c r="CM99" i="1"/>
  <c r="CM317" i="1"/>
  <c r="CM309" i="1"/>
  <c r="CM47" i="1"/>
  <c r="CM88" i="1"/>
  <c r="CM214" i="1"/>
  <c r="CM244" i="1"/>
  <c r="CM108" i="1"/>
  <c r="CM156" i="1"/>
  <c r="CM259" i="1"/>
  <c r="CM55" i="1"/>
  <c r="CM25" i="1"/>
  <c r="CM22" i="1"/>
  <c r="CM85" i="1"/>
  <c r="CM445" i="1"/>
  <c r="CM24" i="1"/>
  <c r="CM126" i="1"/>
  <c r="CM140" i="1"/>
  <c r="CM58" i="1"/>
  <c r="CM59" i="1"/>
  <c r="CM274" i="1"/>
  <c r="CM113" i="1"/>
  <c r="CM206" i="1"/>
  <c r="CM175" i="1"/>
  <c r="CM349" i="1"/>
  <c r="CM69" i="1"/>
  <c r="CM431" i="1"/>
  <c r="CM190" i="1"/>
  <c r="CM432" i="1"/>
  <c r="CM351" i="1"/>
  <c r="CM164" i="1"/>
  <c r="CM387" i="1"/>
  <c r="CM106" i="1"/>
  <c r="CM103" i="1"/>
  <c r="CM281" i="1"/>
  <c r="CM144" i="1"/>
  <c r="CM114" i="1"/>
  <c r="CM111" i="1"/>
  <c r="CM4" i="1"/>
  <c r="CM81" i="1"/>
  <c r="CM179" i="1"/>
  <c r="CM158" i="1"/>
  <c r="CM217" i="1"/>
  <c r="CM128" i="1"/>
  <c r="CM361" i="1"/>
  <c r="CM3" i="1"/>
  <c r="CM392" i="1"/>
  <c r="CM159" i="1"/>
  <c r="CM63" i="1"/>
  <c r="CM43" i="1"/>
  <c r="CM19" i="1"/>
  <c r="CM280" i="1"/>
  <c r="CM132" i="1"/>
  <c r="CM168" i="1"/>
  <c r="D6" i="3"/>
  <c r="D9" i="3"/>
  <c r="D5" i="3"/>
  <c r="I6" i="3"/>
  <c r="I8" i="3"/>
  <c r="I9" i="3"/>
  <c r="I5" i="3"/>
  <c r="CL142" i="1"/>
  <c r="CK142" i="1"/>
  <c r="CL36" i="1"/>
  <c r="CK36" i="1"/>
  <c r="DK36" i="1" s="1"/>
  <c r="CL40" i="1"/>
  <c r="CK40" i="1"/>
  <c r="CL185" i="1"/>
  <c r="CK185" i="1"/>
  <c r="CL46" i="1"/>
  <c r="CK46" i="1"/>
  <c r="CL408" i="1"/>
  <c r="CK408" i="1"/>
  <c r="CL247" i="1"/>
  <c r="CK247" i="1"/>
  <c r="CL320" i="1"/>
  <c r="CK320" i="1"/>
  <c r="CL134" i="1"/>
  <c r="CK134" i="1"/>
  <c r="CL221" i="1"/>
  <c r="CK221" i="1"/>
  <c r="CL9" i="1"/>
  <c r="CK9" i="1"/>
  <c r="CL15" i="1"/>
  <c r="CK15" i="1"/>
  <c r="CL222" i="1"/>
  <c r="CK222" i="1"/>
  <c r="CL362" i="1"/>
  <c r="CK362" i="1"/>
  <c r="CL400" i="1"/>
  <c r="CK400" i="1"/>
  <c r="CL250" i="1"/>
  <c r="CK250" i="1"/>
  <c r="CL129" i="1"/>
  <c r="CK129" i="1"/>
  <c r="CL93" i="1"/>
  <c r="CK93" i="1"/>
  <c r="CL326" i="1"/>
  <c r="CK326" i="1"/>
  <c r="CL38" i="1"/>
  <c r="CK38" i="1"/>
  <c r="CL373" i="1"/>
  <c r="CK373" i="1"/>
  <c r="CL454" i="1"/>
  <c r="CK454" i="1"/>
  <c r="CL139" i="1"/>
  <c r="CK139" i="1"/>
  <c r="CL406" i="1"/>
  <c r="CK406" i="1"/>
  <c r="CL386" i="1"/>
  <c r="CK386" i="1"/>
  <c r="CL234" i="1"/>
  <c r="CK234" i="1"/>
  <c r="CL14" i="1"/>
  <c r="CK14" i="1"/>
  <c r="CL278" i="1"/>
  <c r="CK278" i="1"/>
  <c r="CL83" i="1"/>
  <c r="CK83" i="1"/>
  <c r="CL366" i="1"/>
  <c r="CK366" i="1"/>
  <c r="CL197" i="1"/>
  <c r="CK197" i="1"/>
  <c r="CL418" i="1"/>
  <c r="CK418" i="1"/>
  <c r="CL423" i="1"/>
  <c r="CK423" i="1"/>
  <c r="CL33" i="1"/>
  <c r="CK33" i="1"/>
  <c r="CL147" i="1"/>
  <c r="CK147" i="1"/>
  <c r="CL459" i="1"/>
  <c r="CK459" i="1"/>
  <c r="CL54" i="1"/>
  <c r="CK54" i="1"/>
  <c r="CL409" i="1"/>
  <c r="CK409" i="1"/>
  <c r="CL135" i="1"/>
  <c r="CK135" i="1"/>
  <c r="CL395" i="1"/>
  <c r="CK395" i="1"/>
  <c r="CL120" i="1"/>
  <c r="CK120" i="1"/>
  <c r="CL339" i="1"/>
  <c r="CK339" i="1"/>
  <c r="CL205" i="1"/>
  <c r="CK205" i="1"/>
  <c r="CL6" i="1"/>
  <c r="CK6" i="1"/>
  <c r="CL5" i="1"/>
  <c r="CK5" i="1"/>
  <c r="CL453" i="1"/>
  <c r="CK453" i="1"/>
  <c r="CL284" i="1"/>
  <c r="CK284" i="1"/>
  <c r="CL321" i="1"/>
  <c r="CK321" i="1"/>
  <c r="CL370" i="1"/>
  <c r="CK370" i="1"/>
  <c r="CL452" i="1"/>
  <c r="CK452" i="1"/>
  <c r="D7" i="3"/>
  <c r="I7" i="3"/>
  <c r="DK40" i="1" l="1"/>
  <c r="DF321" i="1"/>
  <c r="DK494" i="1"/>
  <c r="DF185" i="1"/>
  <c r="DK532" i="1"/>
  <c r="DF147" i="1"/>
  <c r="DK497" i="1"/>
  <c r="DF197" i="1"/>
  <c r="DK499" i="1"/>
  <c r="DF14" i="1"/>
  <c r="DK503" i="1"/>
  <c r="DF326" i="1"/>
  <c r="DK505" i="1"/>
  <c r="DF9" i="1"/>
  <c r="DK528" i="1"/>
  <c r="DF40" i="1"/>
  <c r="DK533" i="1"/>
  <c r="DF452" i="1"/>
  <c r="DK492" i="1"/>
  <c r="DF453" i="1"/>
  <c r="DF339" i="1"/>
  <c r="DK496" i="1"/>
  <c r="DF33" i="1"/>
  <c r="DK498" i="1"/>
  <c r="DF366" i="1"/>
  <c r="DK501" i="1"/>
  <c r="DF454" i="1"/>
  <c r="DK525" i="1"/>
  <c r="DF93" i="1"/>
  <c r="DK526" i="1"/>
  <c r="DF362" i="1"/>
  <c r="DK507" i="1"/>
  <c r="DF408" i="1"/>
  <c r="DK510" i="1"/>
  <c r="DF36" i="1"/>
  <c r="DK535" i="1"/>
  <c r="DF38" i="1"/>
  <c r="DK504" i="1"/>
  <c r="DF15" i="1"/>
  <c r="DK508" i="1"/>
  <c r="DF370" i="1"/>
  <c r="DK493" i="1"/>
  <c r="DF5" i="1"/>
  <c r="DK495" i="1"/>
  <c r="DF54" i="1"/>
  <c r="DK523" i="1"/>
  <c r="DF83" i="1"/>
  <c r="DK502" i="1"/>
  <c r="DF129" i="1"/>
  <c r="DK506" i="1"/>
  <c r="DF46" i="1"/>
  <c r="DK530" i="1"/>
  <c r="DK357" i="1"/>
  <c r="DF395" i="1"/>
  <c r="DF205" i="1"/>
  <c r="DF409" i="1"/>
  <c r="DF234" i="1"/>
  <c r="DF221" i="1"/>
  <c r="DF406" i="1"/>
  <c r="DF284" i="1"/>
  <c r="DF6" i="1"/>
  <c r="DF278" i="1"/>
  <c r="DF247" i="1"/>
  <c r="DF120" i="1"/>
  <c r="DF423" i="1"/>
  <c r="DF386" i="1"/>
  <c r="DF373" i="1"/>
  <c r="DF222" i="1"/>
  <c r="DF134" i="1"/>
  <c r="DF142" i="1"/>
  <c r="DF459" i="1"/>
  <c r="DF320" i="1"/>
  <c r="DF135" i="1"/>
  <c r="DF139" i="1"/>
  <c r="DF418" i="1"/>
  <c r="DF250" i="1"/>
  <c r="DF400" i="1"/>
  <c r="AT22" i="13"/>
  <c r="AU22" i="13"/>
  <c r="AS22" i="13"/>
  <c r="AQ22" i="13"/>
  <c r="AR22" i="13"/>
  <c r="BB22" i="13"/>
  <c r="AZ22" i="13"/>
  <c r="AY22" i="13"/>
  <c r="BA22" i="13"/>
  <c r="AX22" i="13"/>
  <c r="AG17" i="13"/>
  <c r="AE17" i="13"/>
  <c r="AD17" i="13"/>
  <c r="AF17" i="13"/>
  <c r="AC17" i="13"/>
  <c r="CQ452" i="1"/>
  <c r="CV452" i="1" s="1"/>
  <c r="CQ321" i="1"/>
  <c r="CQ453" i="1"/>
  <c r="CV453" i="1" s="1"/>
  <c r="CQ6" i="1"/>
  <c r="CQ339" i="1"/>
  <c r="CS339" i="1" s="1"/>
  <c r="CT339" i="1" s="1"/>
  <c r="CQ395" i="1"/>
  <c r="CS395" i="1" s="1"/>
  <c r="CT395" i="1" s="1"/>
  <c r="CQ409" i="1"/>
  <c r="CQ459" i="1"/>
  <c r="CV459" i="1" s="1"/>
  <c r="CQ33" i="1"/>
  <c r="CQ418" i="1"/>
  <c r="CQ366" i="1"/>
  <c r="CQ278" i="1"/>
  <c r="CQ234" i="1"/>
  <c r="CQ406" i="1"/>
  <c r="CQ454" i="1"/>
  <c r="CV454" i="1" s="1"/>
  <c r="CQ38" i="1"/>
  <c r="CQ93" i="1"/>
  <c r="CQ250" i="1"/>
  <c r="CQ362" i="1"/>
  <c r="CQ15" i="1"/>
  <c r="CQ221" i="1"/>
  <c r="CQ320" i="1"/>
  <c r="CQ408" i="1"/>
  <c r="CQ185" i="1"/>
  <c r="CQ36" i="1"/>
  <c r="CQ370" i="1"/>
  <c r="CQ284" i="1"/>
  <c r="CQ5" i="1"/>
  <c r="CQ205" i="1"/>
  <c r="CQ120" i="1"/>
  <c r="CQ135" i="1"/>
  <c r="CQ54" i="1"/>
  <c r="CQ147" i="1"/>
  <c r="CQ423" i="1"/>
  <c r="CQ197" i="1"/>
  <c r="CQ83" i="1"/>
  <c r="CQ14" i="1"/>
  <c r="CQ386" i="1"/>
  <c r="CQ139" i="1"/>
  <c r="CQ373" i="1"/>
  <c r="CQ326" i="1"/>
  <c r="CQ129" i="1"/>
  <c r="CQ400" i="1"/>
  <c r="CQ222" i="1"/>
  <c r="CQ9" i="1"/>
  <c r="CQ134" i="1"/>
  <c r="CQ247" i="1"/>
  <c r="CQ46" i="1"/>
  <c r="CQ40" i="1"/>
  <c r="CQ142" i="1"/>
  <c r="C8" i="3"/>
  <c r="D8" i="3" s="1"/>
  <c r="AT23" i="13" l="1"/>
  <c r="AU23" i="13"/>
  <c r="AS23" i="13"/>
  <c r="AR23" i="13"/>
  <c r="AQ23" i="13"/>
  <c r="BA23" i="13"/>
  <c r="AZ23" i="13"/>
  <c r="AY23" i="13"/>
  <c r="BB23" i="13"/>
  <c r="AX23" i="13"/>
  <c r="AG18" i="13"/>
  <c r="AF18" i="13"/>
  <c r="AE18" i="13"/>
  <c r="AD18" i="13"/>
  <c r="AC18" i="13"/>
  <c r="CT452" i="1"/>
  <c r="CW452" i="1"/>
  <c r="CS452" i="1"/>
  <c r="CU452" i="1"/>
  <c r="CW339" i="1"/>
  <c r="CS6" i="1"/>
  <c r="CW409" i="1"/>
  <c r="CW453" i="1"/>
  <c r="CS409" i="1"/>
  <c r="CT409" i="1" s="1"/>
  <c r="CS321" i="1"/>
  <c r="CW395" i="1"/>
  <c r="CT453" i="1"/>
  <c r="CS453" i="1"/>
  <c r="CS459" i="1"/>
  <c r="CW321" i="1"/>
  <c r="CW6" i="1"/>
  <c r="CW459" i="1"/>
  <c r="CT459" i="1"/>
  <c r="CU453" i="1"/>
  <c r="CU459" i="1"/>
  <c r="CS222" i="1"/>
  <c r="CW222" i="1"/>
  <c r="CS373" i="1"/>
  <c r="CT373" i="1" s="1"/>
  <c r="CW373" i="1"/>
  <c r="CS83" i="1"/>
  <c r="CT83" i="1" s="1"/>
  <c r="CW83" i="1"/>
  <c r="CS54" i="1"/>
  <c r="CU54" i="1" s="1"/>
  <c r="CW54" i="1"/>
  <c r="CS5" i="1"/>
  <c r="CW5" i="1"/>
  <c r="CW36" i="1"/>
  <c r="CS36" i="1"/>
  <c r="CT36" i="1" s="1"/>
  <c r="CS221" i="1"/>
  <c r="CU221" i="1" s="1"/>
  <c r="CW221" i="1"/>
  <c r="CS93" i="1"/>
  <c r="CU93" i="1" s="1"/>
  <c r="CW93" i="1"/>
  <c r="CS234" i="1"/>
  <c r="CW234" i="1"/>
  <c r="CS33" i="1"/>
  <c r="CT33" i="1" s="1"/>
  <c r="CW33" i="1"/>
  <c r="CS247" i="1"/>
  <c r="CW247" i="1"/>
  <c r="CS400" i="1"/>
  <c r="CT400" i="1" s="1"/>
  <c r="CW400" i="1"/>
  <c r="CS139" i="1"/>
  <c r="CT139" i="1" s="1"/>
  <c r="CW139" i="1"/>
  <c r="CS197" i="1"/>
  <c r="CW197" i="1"/>
  <c r="CS284" i="1"/>
  <c r="CT284" i="1" s="1"/>
  <c r="CW284" i="1"/>
  <c r="CW185" i="1"/>
  <c r="CS185" i="1"/>
  <c r="CS15" i="1"/>
  <c r="CW15" i="1"/>
  <c r="CS38" i="1"/>
  <c r="CT38" i="1" s="1"/>
  <c r="CW38" i="1"/>
  <c r="CS278" i="1"/>
  <c r="CU278" i="1" s="1"/>
  <c r="CW278" i="1"/>
  <c r="CU339" i="1"/>
  <c r="CV339" i="1" s="1"/>
  <c r="CS142" i="1"/>
  <c r="CU142" i="1" s="1"/>
  <c r="CW142" i="1"/>
  <c r="CS134" i="1"/>
  <c r="CW134" i="1"/>
  <c r="CS129" i="1"/>
  <c r="CU129" i="1" s="1"/>
  <c r="CW129" i="1"/>
  <c r="CS386" i="1"/>
  <c r="CW386" i="1"/>
  <c r="CS423" i="1"/>
  <c r="CT423" i="1" s="1"/>
  <c r="CW423" i="1"/>
  <c r="CS120" i="1"/>
  <c r="CW120" i="1"/>
  <c r="CW370" i="1"/>
  <c r="CS370" i="1"/>
  <c r="CW408" i="1"/>
  <c r="CS408" i="1"/>
  <c r="CU408" i="1" s="1"/>
  <c r="CS362" i="1"/>
  <c r="CT362" i="1" s="1"/>
  <c r="CW362" i="1"/>
  <c r="CS454" i="1"/>
  <c r="CU454" i="1"/>
  <c r="CW454" i="1"/>
  <c r="CT454" i="1"/>
  <c r="CS366" i="1"/>
  <c r="CW366" i="1"/>
  <c r="CU395" i="1"/>
  <c r="CV395" i="1" s="1"/>
  <c r="CS46" i="1"/>
  <c r="CW46" i="1"/>
  <c r="CS135" i="1"/>
  <c r="CW135" i="1"/>
  <c r="CS40" i="1"/>
  <c r="CW40" i="1"/>
  <c r="CS9" i="1"/>
  <c r="CW9" i="1"/>
  <c r="CS326" i="1"/>
  <c r="CW326" i="1"/>
  <c r="CS14" i="1"/>
  <c r="CU14" i="1" s="1"/>
  <c r="CW14" i="1"/>
  <c r="CS147" i="1"/>
  <c r="CW147" i="1"/>
  <c r="CS205" i="1"/>
  <c r="CW205" i="1"/>
  <c r="CS320" i="1"/>
  <c r="CW320" i="1"/>
  <c r="CS250" i="1"/>
  <c r="CU250" i="1" s="1"/>
  <c r="CW250" i="1"/>
  <c r="CS406" i="1"/>
  <c r="CW406" i="1"/>
  <c r="CS418" i="1"/>
  <c r="CW418" i="1"/>
  <c r="CL132" i="1"/>
  <c r="CL280" i="1"/>
  <c r="CL19" i="1"/>
  <c r="CL43" i="1"/>
  <c r="CL63" i="1"/>
  <c r="CL159" i="1"/>
  <c r="CL392" i="1"/>
  <c r="CL3" i="1"/>
  <c r="CL361" i="1"/>
  <c r="CL128" i="1"/>
  <c r="CL217" i="1"/>
  <c r="CL158" i="1"/>
  <c r="CL179" i="1"/>
  <c r="CL81" i="1"/>
  <c r="CL4" i="1"/>
  <c r="CL111" i="1"/>
  <c r="CL114" i="1"/>
  <c r="CL144" i="1"/>
  <c r="CL281" i="1"/>
  <c r="CL103" i="1"/>
  <c r="CL106" i="1"/>
  <c r="CL387" i="1"/>
  <c r="CL164" i="1"/>
  <c r="CL351" i="1"/>
  <c r="CL432" i="1"/>
  <c r="CL190" i="1"/>
  <c r="CL431" i="1"/>
  <c r="CL69" i="1"/>
  <c r="CL349" i="1"/>
  <c r="CL175" i="1"/>
  <c r="CL206" i="1"/>
  <c r="CL113" i="1"/>
  <c r="CL274" i="1"/>
  <c r="CL59" i="1"/>
  <c r="CL58" i="1"/>
  <c r="CL140" i="1"/>
  <c r="CL446" i="1"/>
  <c r="CL126" i="1"/>
  <c r="CL24" i="1"/>
  <c r="CL445" i="1"/>
  <c r="CL85" i="1"/>
  <c r="CL22" i="1"/>
  <c r="CL25" i="1"/>
  <c r="CL55" i="1"/>
  <c r="CL259" i="1"/>
  <c r="CL156" i="1"/>
  <c r="CL108" i="1"/>
  <c r="CL244" i="1"/>
  <c r="CL214" i="1"/>
  <c r="CL88" i="1"/>
  <c r="CL47" i="1"/>
  <c r="CL309" i="1"/>
  <c r="CL317" i="1"/>
  <c r="CL99" i="1"/>
  <c r="CL100" i="1"/>
  <c r="CL193" i="1"/>
  <c r="CL207" i="1"/>
  <c r="CL30" i="1"/>
  <c r="CL70" i="1"/>
  <c r="CL345" i="1"/>
  <c r="CL151" i="1"/>
  <c r="CL399" i="1"/>
  <c r="CL50" i="1"/>
  <c r="CL51" i="1"/>
  <c r="CL12" i="1"/>
  <c r="CL286" i="1"/>
  <c r="CL72" i="1"/>
  <c r="CL232" i="1"/>
  <c r="CL455" i="1"/>
  <c r="CL328" i="1"/>
  <c r="CL401" i="1"/>
  <c r="CL195" i="1"/>
  <c r="CL163" i="1"/>
  <c r="CL253" i="1"/>
  <c r="CL105" i="1"/>
  <c r="CL342" i="1"/>
  <c r="CL292" i="1"/>
  <c r="CL123" i="1"/>
  <c r="CL200" i="1"/>
  <c r="CL143" i="1"/>
  <c r="CL112" i="1"/>
  <c r="CL462" i="1"/>
  <c r="CL323" i="1"/>
  <c r="CL343" i="1"/>
  <c r="CL125" i="1"/>
  <c r="CL75" i="1"/>
  <c r="CL194" i="1"/>
  <c r="CL192" i="1"/>
  <c r="CL251" i="1"/>
  <c r="CL371" i="1"/>
  <c r="CL218" i="1"/>
  <c r="CL199" i="1"/>
  <c r="CL107" i="1"/>
  <c r="CL335" i="1"/>
  <c r="CL84" i="1"/>
  <c r="CL322" i="1"/>
  <c r="CL331" i="1"/>
  <c r="CL31" i="1"/>
  <c r="CL246" i="1"/>
  <c r="CL300" i="1"/>
  <c r="CL189" i="1"/>
  <c r="CL296" i="1"/>
  <c r="CL152" i="1"/>
  <c r="CL368" i="1"/>
  <c r="CL353" i="1"/>
  <c r="CL243" i="1"/>
  <c r="CL187" i="1"/>
  <c r="CL425" i="1"/>
  <c r="CL374" i="1"/>
  <c r="CL166" i="1"/>
  <c r="CL308" i="1"/>
  <c r="CL460" i="1"/>
  <c r="CL439" i="1"/>
  <c r="CL66" i="1"/>
  <c r="CL104" i="1"/>
  <c r="CL67" i="1"/>
  <c r="CL447" i="1"/>
  <c r="CL448" i="1"/>
  <c r="CL329" i="1"/>
  <c r="CL276" i="1"/>
  <c r="CL211" i="1"/>
  <c r="CL117" i="1"/>
  <c r="CL438" i="1"/>
  <c r="CL177" i="1"/>
  <c r="CL237" i="1"/>
  <c r="CL442" i="1"/>
  <c r="CL178" i="1"/>
  <c r="CL277" i="1"/>
  <c r="CL363" i="1"/>
  <c r="CL313" i="1"/>
  <c r="CL78" i="1"/>
  <c r="CL337" i="1"/>
  <c r="CL172" i="1"/>
  <c r="CL181" i="1"/>
  <c r="CL45" i="1"/>
  <c r="CL223" i="1"/>
  <c r="CL183" i="1"/>
  <c r="CL356" i="1"/>
  <c r="CL332" i="1"/>
  <c r="CL285" i="1"/>
  <c r="CL92" i="1"/>
  <c r="CL449" i="1"/>
  <c r="CL310" i="1"/>
  <c r="CL174" i="1"/>
  <c r="CL155" i="1"/>
  <c r="CL228" i="1"/>
  <c r="CL73" i="1"/>
  <c r="CL16" i="1"/>
  <c r="CL297" i="1"/>
  <c r="CL252" i="1"/>
  <c r="CL230" i="1"/>
  <c r="CL148" i="1"/>
  <c r="CL98" i="1"/>
  <c r="CL254" i="1"/>
  <c r="CL204" i="1"/>
  <c r="CL61" i="1"/>
  <c r="CL324" i="1"/>
  <c r="CL414" i="1"/>
  <c r="CL299" i="1"/>
  <c r="CL21" i="1"/>
  <c r="CL96" i="1"/>
  <c r="CL136" i="1"/>
  <c r="CL20" i="1"/>
  <c r="CL102" i="1"/>
  <c r="CL248" i="1"/>
  <c r="CL118" i="1"/>
  <c r="CL233" i="1"/>
  <c r="CL226" i="1"/>
  <c r="CL440" i="1"/>
  <c r="CL338" i="1"/>
  <c r="CL150" i="1"/>
  <c r="CL257" i="1"/>
  <c r="CL265" i="1"/>
  <c r="CL304" i="1"/>
  <c r="CL271" i="1"/>
  <c r="CL198" i="1"/>
  <c r="CL393" i="1"/>
  <c r="CL202" i="1"/>
  <c r="CL167" i="1"/>
  <c r="CL315" i="1"/>
  <c r="CL191" i="1"/>
  <c r="CL245" i="1"/>
  <c r="CL298" i="1"/>
  <c r="CL434" i="1"/>
  <c r="CL122" i="1"/>
  <c r="CL316" i="1"/>
  <c r="CL216" i="1"/>
  <c r="CL138" i="1"/>
  <c r="CL137" i="1"/>
  <c r="CL86" i="1"/>
  <c r="CL131" i="1"/>
  <c r="CL391" i="1"/>
  <c r="CL184" i="1"/>
  <c r="CL262" i="1"/>
  <c r="CL318" i="1"/>
  <c r="CL256" i="1"/>
  <c r="CL389" i="1"/>
  <c r="CL240" i="1"/>
  <c r="CL236" i="1"/>
  <c r="CL344" i="1"/>
  <c r="CL348" i="1"/>
  <c r="CL334" i="1"/>
  <c r="CL210" i="1"/>
  <c r="CL60" i="1"/>
  <c r="CL188" i="1"/>
  <c r="CL382" i="1"/>
  <c r="CL196" i="1"/>
  <c r="CL372" i="1"/>
  <c r="CL275" i="1"/>
  <c r="CL65" i="1"/>
  <c r="CL319" i="1"/>
  <c r="CL116" i="1"/>
  <c r="CL417" i="1"/>
  <c r="CL307" i="1"/>
  <c r="CL258" i="1"/>
  <c r="CL305" i="1"/>
  <c r="CL255" i="1"/>
  <c r="CL176" i="1"/>
  <c r="CL379" i="1"/>
  <c r="CL212" i="1"/>
  <c r="CL11" i="1"/>
  <c r="CL437" i="1"/>
  <c r="CL141" i="1"/>
  <c r="CL161" i="1"/>
  <c r="CL402" i="1"/>
  <c r="CL154" i="1"/>
  <c r="CL219" i="1"/>
  <c r="CL213" i="1"/>
  <c r="CL225" i="1"/>
  <c r="CL229" i="1"/>
  <c r="CL68" i="1"/>
  <c r="CL295" i="1"/>
  <c r="CL109" i="1"/>
  <c r="CL435" i="1"/>
  <c r="CL302" i="1"/>
  <c r="CL263" i="1"/>
  <c r="CL288" i="1"/>
  <c r="CL145" i="1"/>
  <c r="CL231" i="1"/>
  <c r="CL13" i="1"/>
  <c r="CL422" i="1"/>
  <c r="CL101" i="1"/>
  <c r="CL215" i="1"/>
  <c r="CL39" i="1"/>
  <c r="CL90" i="1"/>
  <c r="CL186" i="1"/>
  <c r="CL18" i="1"/>
  <c r="CL341" i="1"/>
  <c r="CL149" i="1"/>
  <c r="CL127" i="1"/>
  <c r="CL95" i="1"/>
  <c r="CL456" i="1"/>
  <c r="CL396" i="1"/>
  <c r="CL336" i="1"/>
  <c r="CL384" i="1"/>
  <c r="CL87" i="1"/>
  <c r="CL89" i="1"/>
  <c r="CL7" i="1"/>
  <c r="CL227" i="1"/>
  <c r="CL74" i="1"/>
  <c r="CL410" i="1"/>
  <c r="CL264" i="1"/>
  <c r="CL62" i="1"/>
  <c r="CL294" i="1"/>
  <c r="CL157" i="1"/>
  <c r="CL397" i="1"/>
  <c r="CL71" i="1"/>
  <c r="CL48" i="1"/>
  <c r="CL354" i="1"/>
  <c r="CL283" i="1"/>
  <c r="CL97" i="1"/>
  <c r="CL311" i="1"/>
  <c r="CL346" i="1"/>
  <c r="CL365" i="1"/>
  <c r="CL201" i="1"/>
  <c r="CL426" i="1"/>
  <c r="CL290" i="1"/>
  <c r="CL415" i="1"/>
  <c r="CL162" i="1"/>
  <c r="CL289" i="1"/>
  <c r="CL314" i="1"/>
  <c r="CL461" i="1"/>
  <c r="CL421" i="1"/>
  <c r="CL403" i="1"/>
  <c r="CL375" i="1"/>
  <c r="CL130" i="1"/>
  <c r="CL37" i="1"/>
  <c r="CL10" i="1"/>
  <c r="CL306" i="1"/>
  <c r="CL80" i="1"/>
  <c r="CL173" i="1"/>
  <c r="CL23" i="1"/>
  <c r="CL282" i="1"/>
  <c r="CL56" i="1"/>
  <c r="CL430" i="1"/>
  <c r="CL383" i="1"/>
  <c r="CL53" i="1"/>
  <c r="CL124" i="1"/>
  <c r="CL182" i="1"/>
  <c r="CL355" i="1"/>
  <c r="CL444" i="1"/>
  <c r="CL224" i="1"/>
  <c r="CL350" i="1"/>
  <c r="CL220" i="1"/>
  <c r="CL412" i="1"/>
  <c r="CL249" i="1"/>
  <c r="CL450" i="1"/>
  <c r="CL52" i="1"/>
  <c r="CL398" i="1"/>
  <c r="CL17" i="1"/>
  <c r="CL27" i="1"/>
  <c r="CL32" i="1"/>
  <c r="CL26" i="1"/>
  <c r="CL79" i="1"/>
  <c r="CL238" i="1"/>
  <c r="CL64" i="1"/>
  <c r="CL235" i="1"/>
  <c r="CL360" i="1"/>
  <c r="CL347" i="1"/>
  <c r="CL443" i="1"/>
  <c r="CL57" i="1"/>
  <c r="CL441" i="1"/>
  <c r="CL171" i="1"/>
  <c r="CL82" i="1"/>
  <c r="CL94" i="1"/>
  <c r="CL121" i="1"/>
  <c r="CL457" i="1"/>
  <c r="CL429" i="1"/>
  <c r="CL160" i="1"/>
  <c r="CL270" i="1"/>
  <c r="CL325" i="1"/>
  <c r="CL420" i="1"/>
  <c r="CL358" i="1"/>
  <c r="CL239" i="1"/>
  <c r="CL180" i="1"/>
  <c r="CL146" i="1"/>
  <c r="CL260" i="1"/>
  <c r="CL291" i="1"/>
  <c r="CL241" i="1"/>
  <c r="CL209" i="1"/>
  <c r="CL34" i="1"/>
  <c r="CL273" i="1"/>
  <c r="CL419" i="1"/>
  <c r="CL411" i="1"/>
  <c r="CL153" i="1"/>
  <c r="CL407" i="1"/>
  <c r="CL303" i="1"/>
  <c r="CL242" i="1"/>
  <c r="CL28" i="1"/>
  <c r="CL49" i="1"/>
  <c r="CL41" i="1"/>
  <c r="CL458" i="1"/>
  <c r="CL340" i="1"/>
  <c r="CL378" i="1"/>
  <c r="CL169" i="1"/>
  <c r="CL388" i="1"/>
  <c r="CL404" i="1"/>
  <c r="CL170" i="1"/>
  <c r="CL359" i="1"/>
  <c r="CL203" i="1"/>
  <c r="CL377" i="1"/>
  <c r="CL369" i="1"/>
  <c r="CL208" i="1"/>
  <c r="CL427" i="1"/>
  <c r="CL266" i="1"/>
  <c r="CL433" i="1"/>
  <c r="CL424" i="1"/>
  <c r="CL312" i="1"/>
  <c r="CL428" i="1"/>
  <c r="CL267" i="1"/>
  <c r="CL268" i="1"/>
  <c r="CL436" i="1"/>
  <c r="CL376" i="1"/>
  <c r="CL133" i="1"/>
  <c r="CL301" i="1"/>
  <c r="CL330" i="1"/>
  <c r="CL381" i="1"/>
  <c r="CL261" i="1"/>
  <c r="CL279" i="1"/>
  <c r="CL76" i="1"/>
  <c r="CL413" i="1"/>
  <c r="CL77" i="1"/>
  <c r="CL385" i="1"/>
  <c r="CL394" i="1"/>
  <c r="CL287" i="1"/>
  <c r="CL416" i="1"/>
  <c r="CL110" i="1"/>
  <c r="CL115" i="1"/>
  <c r="CL29" i="1"/>
  <c r="CL367" i="1"/>
  <c r="CL269" i="1"/>
  <c r="CL44" i="1"/>
  <c r="CL327" i="1"/>
  <c r="CL42" i="1"/>
  <c r="CL293" i="1"/>
  <c r="CL165" i="1"/>
  <c r="CL364" i="1"/>
  <c r="CL451" i="1"/>
  <c r="CL119" i="1"/>
  <c r="CL35" i="1"/>
  <c r="CL8" i="1"/>
  <c r="CL91" i="1"/>
  <c r="CL333" i="1"/>
  <c r="CL168" i="1"/>
  <c r="CQ168" i="1" s="1"/>
  <c r="CK132" i="1"/>
  <c r="DK129" i="1" s="1"/>
  <c r="CK280" i="1"/>
  <c r="CK19" i="1"/>
  <c r="DK19" i="1" s="1"/>
  <c r="CK43" i="1"/>
  <c r="CK63" i="1"/>
  <c r="CK159" i="1"/>
  <c r="CK392" i="1"/>
  <c r="CK3" i="1"/>
  <c r="CK361" i="1"/>
  <c r="CK128" i="1"/>
  <c r="CK217" i="1"/>
  <c r="CK158" i="1"/>
  <c r="CK179" i="1"/>
  <c r="DK452" i="1" s="1"/>
  <c r="CK81" i="1"/>
  <c r="CK4" i="1"/>
  <c r="CK111" i="1"/>
  <c r="CK114" i="1"/>
  <c r="CK144" i="1"/>
  <c r="CK281" i="1"/>
  <c r="CK103" i="1"/>
  <c r="CK106" i="1"/>
  <c r="CK387" i="1"/>
  <c r="CK164" i="1"/>
  <c r="DK370" i="1" s="1"/>
  <c r="CK351" i="1"/>
  <c r="CK432" i="1"/>
  <c r="CK190" i="1"/>
  <c r="CK431" i="1"/>
  <c r="CK69" i="1"/>
  <c r="CK349" i="1"/>
  <c r="CK175" i="1"/>
  <c r="CK206" i="1"/>
  <c r="CK274" i="1"/>
  <c r="CK59" i="1"/>
  <c r="CK58" i="1"/>
  <c r="CK140" i="1"/>
  <c r="CK446" i="1"/>
  <c r="CK126" i="1"/>
  <c r="CK24" i="1"/>
  <c r="CK445" i="1"/>
  <c r="CK85" i="1"/>
  <c r="CK22" i="1"/>
  <c r="CK25" i="1"/>
  <c r="CK55" i="1"/>
  <c r="CK259" i="1"/>
  <c r="CK156" i="1"/>
  <c r="CK108" i="1"/>
  <c r="CK244" i="1"/>
  <c r="CK214" i="1"/>
  <c r="CK88" i="1"/>
  <c r="CK47" i="1"/>
  <c r="CK309" i="1"/>
  <c r="CK317" i="1"/>
  <c r="DK362" i="1" s="1"/>
  <c r="CK99" i="1"/>
  <c r="CK100" i="1"/>
  <c r="CK193" i="1"/>
  <c r="CK207" i="1"/>
  <c r="CK30" i="1"/>
  <c r="CK70" i="1"/>
  <c r="CK345" i="1"/>
  <c r="CK151" i="1"/>
  <c r="CK399" i="1"/>
  <c r="CK50" i="1"/>
  <c r="CK51" i="1"/>
  <c r="CK12" i="1"/>
  <c r="CK286" i="1"/>
  <c r="CK72" i="1"/>
  <c r="CK232" i="1"/>
  <c r="DK232" i="1" s="1"/>
  <c r="CK455" i="1"/>
  <c r="CK328" i="1"/>
  <c r="CK401" i="1"/>
  <c r="CK195" i="1"/>
  <c r="CK163" i="1"/>
  <c r="CK253" i="1"/>
  <c r="CK105" i="1"/>
  <c r="CK342" i="1"/>
  <c r="CK292" i="1"/>
  <c r="CK123" i="1"/>
  <c r="CK200" i="1"/>
  <c r="CK143" i="1"/>
  <c r="DK9" i="1" s="1"/>
  <c r="CK112" i="1"/>
  <c r="CK462" i="1"/>
  <c r="CK323" i="1"/>
  <c r="CK343" i="1"/>
  <c r="CK125" i="1"/>
  <c r="CK75" i="1"/>
  <c r="CK194" i="1"/>
  <c r="CK192" i="1"/>
  <c r="CK251" i="1"/>
  <c r="CK371" i="1"/>
  <c r="CK218" i="1"/>
  <c r="CK199" i="1"/>
  <c r="DK199" i="1" s="1"/>
  <c r="CK107" i="1"/>
  <c r="CK335" i="1"/>
  <c r="CK84" i="1"/>
  <c r="CK322" i="1"/>
  <c r="CK331" i="1"/>
  <c r="CK31" i="1"/>
  <c r="CK246" i="1"/>
  <c r="CK300" i="1"/>
  <c r="CK189" i="1"/>
  <c r="CK296" i="1"/>
  <c r="CK152" i="1"/>
  <c r="DK83" i="1" s="1"/>
  <c r="CK368" i="1"/>
  <c r="CK353" i="1"/>
  <c r="CK243" i="1"/>
  <c r="CK187" i="1"/>
  <c r="CK425" i="1"/>
  <c r="CK374" i="1"/>
  <c r="CK166" i="1"/>
  <c r="CK308" i="1"/>
  <c r="CK460" i="1"/>
  <c r="CK439" i="1"/>
  <c r="CK66" i="1"/>
  <c r="CK104" i="1"/>
  <c r="CK67" i="1"/>
  <c r="DK46" i="1" s="1"/>
  <c r="CK447" i="1"/>
  <c r="CK448" i="1"/>
  <c r="CK329" i="1"/>
  <c r="CK276" i="1"/>
  <c r="CK211" i="1"/>
  <c r="CK117" i="1"/>
  <c r="CK438" i="1"/>
  <c r="CK177" i="1"/>
  <c r="CK237" i="1"/>
  <c r="CK442" i="1"/>
  <c r="CK178" i="1"/>
  <c r="CK277" i="1"/>
  <c r="CK363" i="1"/>
  <c r="CK313" i="1"/>
  <c r="DK185" i="1" s="1"/>
  <c r="CK78" i="1"/>
  <c r="DK408" i="1" s="1"/>
  <c r="CK337" i="1"/>
  <c r="CK172" i="1"/>
  <c r="CK181" i="1"/>
  <c r="DK321" i="1" s="1"/>
  <c r="CK45" i="1"/>
  <c r="CK223" i="1"/>
  <c r="DK339" i="1" s="1"/>
  <c r="CK183" i="1"/>
  <c r="CK356" i="1"/>
  <c r="CK332" i="1"/>
  <c r="CK285" i="1"/>
  <c r="CK92" i="1"/>
  <c r="CK449" i="1"/>
  <c r="CK310" i="1"/>
  <c r="CK174" i="1"/>
  <c r="CK155" i="1"/>
  <c r="DK155" i="1" s="1"/>
  <c r="CK228" i="1"/>
  <c r="CK73" i="1"/>
  <c r="CK16" i="1"/>
  <c r="CK297" i="1"/>
  <c r="CK252" i="1"/>
  <c r="CK230" i="1"/>
  <c r="CK148" i="1"/>
  <c r="CK98" i="1"/>
  <c r="CK254" i="1"/>
  <c r="CK204" i="1"/>
  <c r="CK61" i="1"/>
  <c r="CK324" i="1"/>
  <c r="CK414" i="1"/>
  <c r="CK299" i="1"/>
  <c r="CK21" i="1"/>
  <c r="CK96" i="1"/>
  <c r="CK136" i="1"/>
  <c r="CK20" i="1"/>
  <c r="CK102" i="1"/>
  <c r="CK248" i="1"/>
  <c r="CK118" i="1"/>
  <c r="CK233" i="1"/>
  <c r="CK226" i="1"/>
  <c r="CK440" i="1"/>
  <c r="CK338" i="1"/>
  <c r="CK150" i="1"/>
  <c r="CK257" i="1"/>
  <c r="CK265" i="1"/>
  <c r="CK304" i="1"/>
  <c r="CK271" i="1"/>
  <c r="CK198" i="1"/>
  <c r="CK393" i="1"/>
  <c r="CK202" i="1"/>
  <c r="DK15" i="1" s="1"/>
  <c r="CK167" i="1"/>
  <c r="CK315" i="1"/>
  <c r="CK191" i="1"/>
  <c r="CK245" i="1"/>
  <c r="DK326" i="1" s="1"/>
  <c r="CK298" i="1"/>
  <c r="CK434" i="1"/>
  <c r="CK122" i="1"/>
  <c r="CK316" i="1"/>
  <c r="CK216" i="1"/>
  <c r="CK138" i="1"/>
  <c r="CK137" i="1"/>
  <c r="CK86" i="1"/>
  <c r="CK131" i="1"/>
  <c r="DK168" i="1" s="1"/>
  <c r="CK391" i="1"/>
  <c r="CK184" i="1"/>
  <c r="CK262" i="1"/>
  <c r="CK318" i="1"/>
  <c r="CK256" i="1"/>
  <c r="CK389" i="1"/>
  <c r="CK240" i="1"/>
  <c r="CK236" i="1"/>
  <c r="CK344" i="1"/>
  <c r="CK348" i="1"/>
  <c r="CK334" i="1"/>
  <c r="CK210" i="1"/>
  <c r="CK60" i="1"/>
  <c r="CK188" i="1"/>
  <c r="CK382" i="1"/>
  <c r="CK196" i="1"/>
  <c r="CK372" i="1"/>
  <c r="CK275" i="1"/>
  <c r="CK65" i="1"/>
  <c r="CK319" i="1"/>
  <c r="DK14" i="1" s="1"/>
  <c r="CK116" i="1"/>
  <c r="CK417" i="1"/>
  <c r="CK307" i="1"/>
  <c r="CK258" i="1"/>
  <c r="CK305" i="1"/>
  <c r="CK255" i="1"/>
  <c r="CK176" i="1"/>
  <c r="CK379" i="1"/>
  <c r="CK212" i="1"/>
  <c r="CK11" i="1"/>
  <c r="CK437" i="1"/>
  <c r="CK141" i="1"/>
  <c r="DK197" i="1" s="1"/>
  <c r="CK161" i="1"/>
  <c r="CK402" i="1"/>
  <c r="CK154" i="1"/>
  <c r="CK219" i="1"/>
  <c r="CK213" i="1"/>
  <c r="CK225" i="1"/>
  <c r="CK229" i="1"/>
  <c r="DK509" i="1" s="1"/>
  <c r="CK68" i="1"/>
  <c r="CK295" i="1"/>
  <c r="CK109" i="1"/>
  <c r="CK435" i="1"/>
  <c r="DK435" i="1" s="1"/>
  <c r="CK302" i="1"/>
  <c r="CK263" i="1"/>
  <c r="CK288" i="1"/>
  <c r="CK145" i="1"/>
  <c r="CK231" i="1"/>
  <c r="CK13" i="1"/>
  <c r="CK422" i="1"/>
  <c r="CK101" i="1"/>
  <c r="CK215" i="1"/>
  <c r="CK39" i="1"/>
  <c r="CK90" i="1"/>
  <c r="DK447" i="1" s="1"/>
  <c r="CK186" i="1"/>
  <c r="CK18" i="1"/>
  <c r="CK341" i="1"/>
  <c r="DK454" i="1" s="1"/>
  <c r="CK149" i="1"/>
  <c r="CK127" i="1"/>
  <c r="CK95" i="1"/>
  <c r="CK456" i="1"/>
  <c r="CK396" i="1"/>
  <c r="DK147" i="1" s="1"/>
  <c r="CK336" i="1"/>
  <c r="CK384" i="1"/>
  <c r="CK87" i="1"/>
  <c r="CK89" i="1"/>
  <c r="CK7" i="1"/>
  <c r="CK227" i="1"/>
  <c r="CK74" i="1"/>
  <c r="CK410" i="1"/>
  <c r="CK264" i="1"/>
  <c r="CK62" i="1"/>
  <c r="CK294" i="1"/>
  <c r="CK157" i="1"/>
  <c r="CK397" i="1"/>
  <c r="CK48" i="1"/>
  <c r="CK354" i="1"/>
  <c r="CK283" i="1"/>
  <c r="DK33" i="1" s="1"/>
  <c r="CK97" i="1"/>
  <c r="DF311" i="1"/>
  <c r="CK346" i="1"/>
  <c r="CK365" i="1"/>
  <c r="CK201" i="1"/>
  <c r="CK426" i="1"/>
  <c r="CK290" i="1"/>
  <c r="CK415" i="1"/>
  <c r="CK162" i="1"/>
  <c r="CK289" i="1"/>
  <c r="CK314" i="1"/>
  <c r="CK461" i="1"/>
  <c r="CK421" i="1"/>
  <c r="CK403" i="1"/>
  <c r="CK375" i="1"/>
  <c r="CK130" i="1"/>
  <c r="CK37" i="1"/>
  <c r="CK10" i="1"/>
  <c r="CK306" i="1"/>
  <c r="CK80" i="1"/>
  <c r="CK173" i="1"/>
  <c r="CK23" i="1"/>
  <c r="CK282" i="1"/>
  <c r="CK56" i="1"/>
  <c r="DK446" i="1" s="1"/>
  <c r="CK430" i="1"/>
  <c r="CK383" i="1"/>
  <c r="CK53" i="1"/>
  <c r="CK124" i="1"/>
  <c r="CK182" i="1"/>
  <c r="DK93" i="1" s="1"/>
  <c r="CK355" i="1"/>
  <c r="CK444" i="1"/>
  <c r="CK224" i="1"/>
  <c r="CK350" i="1"/>
  <c r="CK220" i="1"/>
  <c r="CK412" i="1"/>
  <c r="CK249" i="1"/>
  <c r="CK450" i="1"/>
  <c r="CK52" i="1"/>
  <c r="CK398" i="1"/>
  <c r="CK17" i="1"/>
  <c r="CK27" i="1"/>
  <c r="CK32" i="1"/>
  <c r="CK26" i="1"/>
  <c r="CK79" i="1"/>
  <c r="DK12" i="1" s="1"/>
  <c r="CK238" i="1"/>
  <c r="CK64" i="1"/>
  <c r="CK235" i="1"/>
  <c r="CK360" i="1"/>
  <c r="CK347" i="1"/>
  <c r="CK443" i="1"/>
  <c r="CK57" i="1"/>
  <c r="CK441" i="1"/>
  <c r="CK171" i="1"/>
  <c r="CK82" i="1"/>
  <c r="CK94" i="1"/>
  <c r="DK366" i="1" s="1"/>
  <c r="CK121" i="1"/>
  <c r="CK457" i="1"/>
  <c r="CK429" i="1"/>
  <c r="CK160" i="1"/>
  <c r="CK270" i="1"/>
  <c r="DK54" i="1" s="1"/>
  <c r="CK325" i="1"/>
  <c r="CK420" i="1"/>
  <c r="CK358" i="1"/>
  <c r="CK239" i="1"/>
  <c r="CK180" i="1"/>
  <c r="CK146" i="1"/>
  <c r="DK146" i="1" s="1"/>
  <c r="CK260" i="1"/>
  <c r="CK291" i="1"/>
  <c r="CK241" i="1"/>
  <c r="CK209" i="1"/>
  <c r="DK209" i="1" s="1"/>
  <c r="CK34" i="1"/>
  <c r="CK273" i="1"/>
  <c r="CK419" i="1"/>
  <c r="CK411" i="1"/>
  <c r="CK153" i="1"/>
  <c r="CK407" i="1"/>
  <c r="CK303" i="1"/>
  <c r="CK242" i="1"/>
  <c r="CK28" i="1"/>
  <c r="DK28" i="1" s="1"/>
  <c r="CK49" i="1"/>
  <c r="CK41" i="1"/>
  <c r="CK458" i="1"/>
  <c r="CK340" i="1"/>
  <c r="CK378" i="1"/>
  <c r="CK169" i="1"/>
  <c r="CK388" i="1"/>
  <c r="CK404" i="1"/>
  <c r="CK170" i="1"/>
  <c r="CK359" i="1"/>
  <c r="CK203" i="1"/>
  <c r="CK377" i="1"/>
  <c r="CK369" i="1"/>
  <c r="CK208" i="1"/>
  <c r="DK465" i="1" s="1"/>
  <c r="CK427" i="1"/>
  <c r="CK266" i="1"/>
  <c r="CK433" i="1"/>
  <c r="CK424" i="1"/>
  <c r="CK312" i="1"/>
  <c r="CK428" i="1"/>
  <c r="CK267" i="1"/>
  <c r="CK268" i="1"/>
  <c r="DK38" i="1" s="1"/>
  <c r="CK436" i="1"/>
  <c r="CK376" i="1"/>
  <c r="CK133" i="1"/>
  <c r="DK467" i="1" s="1"/>
  <c r="CK301" i="1"/>
  <c r="CK330" i="1"/>
  <c r="CK381" i="1"/>
  <c r="CK261" i="1"/>
  <c r="CK279" i="1"/>
  <c r="CK76" i="1"/>
  <c r="CK413" i="1"/>
  <c r="CK77" i="1"/>
  <c r="CK385" i="1"/>
  <c r="DK5" i="1" s="1"/>
  <c r="CK394" i="1"/>
  <c r="CK287" i="1"/>
  <c r="CK416" i="1"/>
  <c r="CK110" i="1"/>
  <c r="CK115" i="1"/>
  <c r="DK511" i="1" s="1"/>
  <c r="CK29" i="1"/>
  <c r="CK367" i="1"/>
  <c r="CK269" i="1"/>
  <c r="CK44" i="1"/>
  <c r="CK327" i="1"/>
  <c r="CK42" i="1"/>
  <c r="CK293" i="1"/>
  <c r="CK165" i="1"/>
  <c r="CK364" i="1"/>
  <c r="CK451" i="1"/>
  <c r="CK119" i="1"/>
  <c r="CK35" i="1"/>
  <c r="DK35" i="1" s="1"/>
  <c r="CK8" i="1"/>
  <c r="CK91" i="1"/>
  <c r="DK91" i="1" s="1"/>
  <c r="CK333" i="1"/>
  <c r="DK88" i="1" l="1"/>
  <c r="DK3" i="1"/>
  <c r="DK449" i="1"/>
  <c r="DK85" i="1"/>
  <c r="DK107" i="1"/>
  <c r="DK63" i="1"/>
  <c r="DK112" i="1"/>
  <c r="DK257" i="1"/>
  <c r="DK145" i="1"/>
  <c r="DK359" i="1"/>
  <c r="DK44" i="1"/>
  <c r="DK39" i="1"/>
  <c r="DK55" i="1"/>
  <c r="DK424" i="1"/>
  <c r="DK60" i="1"/>
  <c r="DK451" i="1"/>
  <c r="DK68" i="1"/>
  <c r="DK76" i="1"/>
  <c r="DK398" i="1"/>
  <c r="DK52" i="1"/>
  <c r="DK50" i="1"/>
  <c r="DK62" i="1"/>
  <c r="DK393" i="1"/>
  <c r="DK124" i="1"/>
  <c r="DK169" i="1"/>
  <c r="DK42" i="1"/>
  <c r="DK8" i="1"/>
  <c r="DK53" i="1"/>
  <c r="DK331" i="1"/>
  <c r="DK421" i="1"/>
  <c r="DK238" i="1"/>
  <c r="DK4" i="1"/>
  <c r="DK253" i="1"/>
  <c r="DK27" i="1"/>
  <c r="DK64" i="1"/>
  <c r="DK448" i="1"/>
  <c r="DK96" i="1"/>
  <c r="DK149" i="1"/>
  <c r="DK17" i="1"/>
  <c r="DK41" i="1"/>
  <c r="DK74" i="1"/>
  <c r="DK121" i="1"/>
  <c r="DK444" i="1"/>
  <c r="DK252" i="1"/>
  <c r="DK49" i="1"/>
  <c r="DK415" i="1"/>
  <c r="DK66" i="1"/>
  <c r="DK13" i="1"/>
  <c r="DK37" i="1"/>
  <c r="DK412" i="1"/>
  <c r="DK512" i="1"/>
  <c r="DK350" i="1"/>
  <c r="DK248" i="1"/>
  <c r="DK413" i="1"/>
  <c r="DK404" i="1"/>
  <c r="DK466" i="1"/>
  <c r="DK99" i="1"/>
  <c r="DK403" i="1"/>
  <c r="DK463" i="1"/>
  <c r="DK153" i="1"/>
  <c r="DK431" i="1"/>
  <c r="DK30" i="1"/>
  <c r="DK327" i="1"/>
  <c r="DK130" i="1"/>
  <c r="DK118" i="1"/>
  <c r="DK77" i="1"/>
  <c r="DK275" i="1"/>
  <c r="DK57" i="1"/>
  <c r="DK464" i="1"/>
  <c r="DK175" i="1"/>
  <c r="DK358" i="1"/>
  <c r="DK65" i="1"/>
  <c r="DK355" i="1"/>
  <c r="DK116" i="1"/>
  <c r="DK29" i="1"/>
  <c r="DK453" i="1"/>
  <c r="DK462" i="1"/>
  <c r="DK450" i="1"/>
  <c r="DK22" i="1"/>
  <c r="DK26" i="1"/>
  <c r="DK306" i="1"/>
  <c r="DK34" i="1"/>
  <c r="DK436" i="1"/>
  <c r="DK110" i="1"/>
  <c r="DK267" i="1"/>
  <c r="DK346" i="1"/>
  <c r="DK16" i="1"/>
  <c r="DK31" i="1"/>
  <c r="DK383" i="1"/>
  <c r="DK442" i="1"/>
  <c r="DK61" i="1"/>
  <c r="DK81" i="1"/>
  <c r="DK259" i="1"/>
  <c r="DF169" i="1"/>
  <c r="DK480" i="1"/>
  <c r="DF65" i="1"/>
  <c r="DF66" i="1"/>
  <c r="DF31" i="1"/>
  <c r="DF253" i="1"/>
  <c r="DF30" i="1"/>
  <c r="DF88" i="1"/>
  <c r="DF22" i="1"/>
  <c r="DF110" i="1"/>
  <c r="DK460" i="1"/>
  <c r="DF450" i="1"/>
  <c r="DK516" i="1"/>
  <c r="DF91" i="1"/>
  <c r="DK491" i="1"/>
  <c r="DF42" i="1"/>
  <c r="DK488" i="1"/>
  <c r="DF267" i="1"/>
  <c r="DK483" i="1"/>
  <c r="DF124" i="1"/>
  <c r="DF149" i="1"/>
  <c r="DF275" i="1"/>
  <c r="DF393" i="1"/>
  <c r="DF96" i="1"/>
  <c r="DF155" i="1"/>
  <c r="DF331" i="1"/>
  <c r="DF112" i="1"/>
  <c r="DF12" i="1"/>
  <c r="DF85" i="1"/>
  <c r="DF3" i="1"/>
  <c r="DF436" i="1"/>
  <c r="DK484" i="1"/>
  <c r="DF64" i="1"/>
  <c r="DK473" i="1"/>
  <c r="DF238" i="1"/>
  <c r="DK472" i="1"/>
  <c r="DF435" i="1"/>
  <c r="DF8" i="1"/>
  <c r="DK490" i="1"/>
  <c r="DF327" i="1"/>
  <c r="DK521" i="1"/>
  <c r="DF153" i="1"/>
  <c r="DK477" i="1"/>
  <c r="DF57" i="1"/>
  <c r="DK474" i="1"/>
  <c r="DF26" i="1"/>
  <c r="DK471" i="1"/>
  <c r="DF412" i="1"/>
  <c r="DK515" i="1"/>
  <c r="DF53" i="1"/>
  <c r="DF306" i="1"/>
  <c r="DF346" i="1"/>
  <c r="DF13" i="1"/>
  <c r="DF4" i="1"/>
  <c r="DF52" i="1"/>
  <c r="DK455" i="1"/>
  <c r="DF421" i="1"/>
  <c r="DF35" i="1"/>
  <c r="DK489" i="1"/>
  <c r="DF44" i="1"/>
  <c r="DK487" i="1"/>
  <c r="DF146" i="1"/>
  <c r="DK475" i="1"/>
  <c r="DF383" i="1"/>
  <c r="DF62" i="1"/>
  <c r="DF68" i="1"/>
  <c r="DF50" i="1"/>
  <c r="DF175" i="1"/>
  <c r="DF81" i="1"/>
  <c r="DF76" i="1"/>
  <c r="DK485" i="1"/>
  <c r="DF403" i="1"/>
  <c r="DF350" i="1"/>
  <c r="DK469" i="1"/>
  <c r="DF145" i="1"/>
  <c r="DF118" i="1"/>
  <c r="DF252" i="1"/>
  <c r="DF449" i="1"/>
  <c r="DF442" i="1"/>
  <c r="DF448" i="1"/>
  <c r="DF99" i="1"/>
  <c r="DF63" i="1"/>
  <c r="DF355" i="1"/>
  <c r="DK514" i="1"/>
  <c r="DF424" i="1"/>
  <c r="DK482" i="1"/>
  <c r="DF37" i="1"/>
  <c r="DF451" i="1"/>
  <c r="DK522" i="1"/>
  <c r="DF77" i="1"/>
  <c r="DK486" i="1"/>
  <c r="DF49" i="1"/>
  <c r="DK478" i="1"/>
  <c r="DF121" i="1"/>
  <c r="DK457" i="1"/>
  <c r="DF17" i="1"/>
  <c r="DK517" i="1"/>
  <c r="DF415" i="1"/>
  <c r="DF248" i="1"/>
  <c r="DF447" i="1"/>
  <c r="DF107" i="1"/>
  <c r="DF259" i="1"/>
  <c r="DF446" i="1"/>
  <c r="DF209" i="1"/>
  <c r="DK458" i="1"/>
  <c r="DF359" i="1"/>
  <c r="DK481" i="1"/>
  <c r="DF41" i="1"/>
  <c r="DK479" i="1"/>
  <c r="DF27" i="1"/>
  <c r="DK470" i="1"/>
  <c r="DF130" i="1"/>
  <c r="DF29" i="1"/>
  <c r="DK461" i="1"/>
  <c r="DF413" i="1"/>
  <c r="DK520" i="1"/>
  <c r="DF404" i="1"/>
  <c r="DK459" i="1"/>
  <c r="DF28" i="1"/>
  <c r="DK519" i="1"/>
  <c r="DF34" i="1"/>
  <c r="DK476" i="1"/>
  <c r="DF358" i="1"/>
  <c r="DK518" i="1"/>
  <c r="DF398" i="1"/>
  <c r="DK456" i="1"/>
  <c r="DF444" i="1"/>
  <c r="DK468" i="1"/>
  <c r="DF74" i="1"/>
  <c r="DF39" i="1"/>
  <c r="DF116" i="1"/>
  <c r="DF60" i="1"/>
  <c r="DF257" i="1"/>
  <c r="DF61" i="1"/>
  <c r="DF16" i="1"/>
  <c r="DF199" i="1"/>
  <c r="DF232" i="1"/>
  <c r="DF55" i="1"/>
  <c r="DF431" i="1"/>
  <c r="DF19" i="1"/>
  <c r="DF188" i="1"/>
  <c r="DF388" i="1"/>
  <c r="DF263" i="1"/>
  <c r="DF333" i="1"/>
  <c r="DF268" i="1"/>
  <c r="DF241" i="1"/>
  <c r="DF325" i="1"/>
  <c r="DF182" i="1"/>
  <c r="DF287" i="1"/>
  <c r="DF381" i="1"/>
  <c r="DF428" i="1"/>
  <c r="DF377" i="1"/>
  <c r="DF340" i="1"/>
  <c r="DF260" i="1"/>
  <c r="DF160" i="1"/>
  <c r="DF314" i="1"/>
  <c r="DF157" i="1"/>
  <c r="DF89" i="1"/>
  <c r="DF422" i="1"/>
  <c r="DF109" i="1"/>
  <c r="DF402" i="1"/>
  <c r="DF255" i="1"/>
  <c r="DF348" i="1"/>
  <c r="DF184" i="1"/>
  <c r="DF122" i="1"/>
  <c r="DF440" i="1"/>
  <c r="DF98" i="1"/>
  <c r="DF183" i="1"/>
  <c r="DF363" i="1"/>
  <c r="DF211" i="1"/>
  <c r="DF439" i="1"/>
  <c r="DF353" i="1"/>
  <c r="DF251" i="1"/>
  <c r="DF163" i="1"/>
  <c r="DF207" i="1"/>
  <c r="DF214" i="1"/>
  <c r="DF274" i="1"/>
  <c r="DF432" i="1"/>
  <c r="DF114" i="1"/>
  <c r="DF361" i="1"/>
  <c r="DF132" i="1"/>
  <c r="DF94" i="1"/>
  <c r="DF410" i="1"/>
  <c r="DF137" i="1"/>
  <c r="DF427" i="1"/>
  <c r="DF420" i="1"/>
  <c r="DF312" i="1"/>
  <c r="DF458" i="1"/>
  <c r="DF443" i="1"/>
  <c r="DF220" i="1"/>
  <c r="DF10" i="1"/>
  <c r="DF294" i="1"/>
  <c r="DF295" i="1"/>
  <c r="DF344" i="1"/>
  <c r="DF368" i="1"/>
  <c r="DF143" i="1"/>
  <c r="DF193" i="1"/>
  <c r="DF351" i="1"/>
  <c r="DF111" i="1"/>
  <c r="DF290" i="1"/>
  <c r="DF417" i="1"/>
  <c r="DF23" i="1"/>
  <c r="DF337" i="1"/>
  <c r="DF330" i="1"/>
  <c r="DF203" i="1"/>
  <c r="DF411" i="1"/>
  <c r="DF32" i="1"/>
  <c r="DF87" i="1"/>
  <c r="DF341" i="1"/>
  <c r="DF161" i="1"/>
  <c r="DF391" i="1"/>
  <c r="DF198" i="1"/>
  <c r="DF21" i="1"/>
  <c r="DF223" i="1"/>
  <c r="DF276" i="1"/>
  <c r="DF322" i="1"/>
  <c r="DF195" i="1"/>
  <c r="DF244" i="1"/>
  <c r="DF113" i="1"/>
  <c r="DF119" i="1"/>
  <c r="DF269" i="1"/>
  <c r="DF301" i="1"/>
  <c r="DF419" i="1"/>
  <c r="DF430" i="1"/>
  <c r="DF162" i="1"/>
  <c r="DF97" i="1"/>
  <c r="DF384" i="1"/>
  <c r="DF18" i="1"/>
  <c r="DF231" i="1"/>
  <c r="DF141" i="1"/>
  <c r="DF258" i="1"/>
  <c r="DF196" i="1"/>
  <c r="DF236" i="1"/>
  <c r="DF131" i="1"/>
  <c r="DF298" i="1"/>
  <c r="DF271" i="1"/>
  <c r="DF233" i="1"/>
  <c r="DF299" i="1"/>
  <c r="DF230" i="1"/>
  <c r="DF310" i="1"/>
  <c r="DF45" i="1"/>
  <c r="DF178" i="1"/>
  <c r="DF329" i="1"/>
  <c r="DF308" i="1"/>
  <c r="DF152" i="1"/>
  <c r="DF84" i="1"/>
  <c r="DF194" i="1"/>
  <c r="DF200" i="1"/>
  <c r="DF401" i="1"/>
  <c r="DF100" i="1"/>
  <c r="DF108" i="1"/>
  <c r="DF24" i="1"/>
  <c r="DF206" i="1"/>
  <c r="DF164" i="1"/>
  <c r="DF392" i="1"/>
  <c r="DF364" i="1"/>
  <c r="DF266" i="1"/>
  <c r="DF11" i="1"/>
  <c r="DF165" i="1"/>
  <c r="DF48" i="1"/>
  <c r="DF213" i="1"/>
  <c r="DF102" i="1"/>
  <c r="DF279" i="1"/>
  <c r="DF394" i="1"/>
  <c r="DF429" i="1"/>
  <c r="DF289" i="1"/>
  <c r="DF305" i="1"/>
  <c r="DF372" i="1"/>
  <c r="DF434" i="1"/>
  <c r="DF226" i="1"/>
  <c r="DF148" i="1"/>
  <c r="DF174" i="1"/>
  <c r="DF277" i="1"/>
  <c r="DF460" i="1"/>
  <c r="DF192" i="1"/>
  <c r="DF51" i="1"/>
  <c r="DF445" i="1"/>
  <c r="DF385" i="1"/>
  <c r="DF180" i="1"/>
  <c r="DF457" i="1"/>
  <c r="DF347" i="1"/>
  <c r="DF367" i="1"/>
  <c r="DF133" i="1"/>
  <c r="DF433" i="1"/>
  <c r="DF170" i="1"/>
  <c r="DF273" i="1"/>
  <c r="DF239" i="1"/>
  <c r="DF360" i="1"/>
  <c r="DF224" i="1"/>
  <c r="DF56" i="1"/>
  <c r="DF283" i="1"/>
  <c r="DF264" i="1"/>
  <c r="DF336" i="1"/>
  <c r="DF186" i="1"/>
  <c r="DF229" i="1"/>
  <c r="DF437" i="1"/>
  <c r="DF307" i="1"/>
  <c r="DF382" i="1"/>
  <c r="DF240" i="1"/>
  <c r="DF86" i="1"/>
  <c r="DF245" i="1"/>
  <c r="DF304" i="1"/>
  <c r="DF414" i="1"/>
  <c r="DF181" i="1"/>
  <c r="DF166" i="1"/>
  <c r="DF296" i="1"/>
  <c r="DF335" i="1"/>
  <c r="DF75" i="1"/>
  <c r="DF123" i="1"/>
  <c r="DF328" i="1"/>
  <c r="DF399" i="1"/>
  <c r="DF156" i="1"/>
  <c r="DF126" i="1"/>
  <c r="DF387" i="1"/>
  <c r="DF159" i="1"/>
  <c r="DF376" i="1"/>
  <c r="DF235" i="1"/>
  <c r="DF354" i="1"/>
  <c r="DF90" i="1"/>
  <c r="DF389" i="1"/>
  <c r="DF191" i="1"/>
  <c r="DF265" i="1"/>
  <c r="DF324" i="1"/>
  <c r="DF297" i="1"/>
  <c r="DF92" i="1"/>
  <c r="DF172" i="1"/>
  <c r="DF237" i="1"/>
  <c r="DF374" i="1"/>
  <c r="DF189" i="1"/>
  <c r="DF125" i="1"/>
  <c r="DF292" i="1"/>
  <c r="DF455" i="1"/>
  <c r="DF151" i="1"/>
  <c r="DF317" i="1"/>
  <c r="DF349" i="1"/>
  <c r="DF106" i="1"/>
  <c r="DF179" i="1"/>
  <c r="DF396" i="1"/>
  <c r="DF456" i="1"/>
  <c r="DF256" i="1"/>
  <c r="DF285" i="1"/>
  <c r="DF177" i="1"/>
  <c r="DF67" i="1"/>
  <c r="DF425" i="1"/>
  <c r="DF300" i="1"/>
  <c r="DF343" i="1"/>
  <c r="DF342" i="1"/>
  <c r="DF345" i="1"/>
  <c r="DF309" i="1"/>
  <c r="DF140" i="1"/>
  <c r="DF69" i="1"/>
  <c r="DF103" i="1"/>
  <c r="DF158" i="1"/>
  <c r="DF43" i="1"/>
  <c r="DF282" i="1"/>
  <c r="DF225" i="1"/>
  <c r="DF242" i="1"/>
  <c r="DF82" i="1"/>
  <c r="DF212" i="1"/>
  <c r="DF315" i="1"/>
  <c r="DF293" i="1"/>
  <c r="DF173" i="1"/>
  <c r="DF201" i="1"/>
  <c r="DF227" i="1"/>
  <c r="DF95" i="1"/>
  <c r="DF302" i="1"/>
  <c r="DF319" i="1"/>
  <c r="DF318" i="1"/>
  <c r="DF150" i="1"/>
  <c r="DF438" i="1"/>
  <c r="DF187" i="1"/>
  <c r="DF218" i="1"/>
  <c r="DF72" i="1"/>
  <c r="DF47" i="1"/>
  <c r="DF58" i="1"/>
  <c r="DF375" i="1"/>
  <c r="DF288" i="1"/>
  <c r="DF115" i="1"/>
  <c r="DF426" i="1"/>
  <c r="DF138" i="1"/>
  <c r="DF208" i="1"/>
  <c r="DF303" i="1"/>
  <c r="DF171" i="1"/>
  <c r="DF71" i="1"/>
  <c r="DF215" i="1"/>
  <c r="DF219" i="1"/>
  <c r="DF379" i="1"/>
  <c r="DF210" i="1"/>
  <c r="DF216" i="1"/>
  <c r="DF167" i="1"/>
  <c r="DF20" i="1"/>
  <c r="DF204" i="1"/>
  <c r="DF73" i="1"/>
  <c r="DF332" i="1"/>
  <c r="DF78" i="1"/>
  <c r="DF104" i="1"/>
  <c r="DF246" i="1"/>
  <c r="DF323" i="1"/>
  <c r="DF105" i="1"/>
  <c r="DF70" i="1"/>
  <c r="DF25" i="1"/>
  <c r="DF281" i="1"/>
  <c r="DF217" i="1"/>
  <c r="DF416" i="1"/>
  <c r="DF261" i="1"/>
  <c r="DF369" i="1"/>
  <c r="DF378" i="1"/>
  <c r="DF407" i="1"/>
  <c r="DF291" i="1"/>
  <c r="DF270" i="1"/>
  <c r="DF441" i="1"/>
  <c r="DF79" i="1"/>
  <c r="DF249" i="1"/>
  <c r="DF80" i="1"/>
  <c r="DF461" i="1"/>
  <c r="DF365" i="1"/>
  <c r="DF397" i="1"/>
  <c r="DF7" i="1"/>
  <c r="DF127" i="1"/>
  <c r="DF101" i="1"/>
  <c r="DF154" i="1"/>
  <c r="DF176" i="1"/>
  <c r="DF334" i="1"/>
  <c r="DF262" i="1"/>
  <c r="DF316" i="1"/>
  <c r="DF202" i="1"/>
  <c r="DF338" i="1"/>
  <c r="DF136" i="1"/>
  <c r="DF254" i="1"/>
  <c r="DF228" i="1"/>
  <c r="DF356" i="1"/>
  <c r="DF313" i="1"/>
  <c r="DF117" i="1"/>
  <c r="DF243" i="1"/>
  <c r="DF371" i="1"/>
  <c r="DF462" i="1"/>
  <c r="DF286" i="1"/>
  <c r="DF59" i="1"/>
  <c r="DF190" i="1"/>
  <c r="DF144" i="1"/>
  <c r="DF128" i="1"/>
  <c r="DF280" i="1"/>
  <c r="CQ8" i="1"/>
  <c r="CW8" i="1" s="1"/>
  <c r="CQ381" i="1"/>
  <c r="CS381" i="1" s="1"/>
  <c r="CQ428" i="1"/>
  <c r="CW428" i="1" s="1"/>
  <c r="CQ377" i="1"/>
  <c r="CW377" i="1" s="1"/>
  <c r="CQ260" i="1"/>
  <c r="CS260" i="1" s="1"/>
  <c r="CQ160" i="1"/>
  <c r="CS160" i="1" s="1"/>
  <c r="CQ57" i="1"/>
  <c r="CS57" i="1" s="1"/>
  <c r="CQ26" i="1"/>
  <c r="CS26" i="1" s="1"/>
  <c r="CQ412" i="1"/>
  <c r="CW412" i="1" s="1"/>
  <c r="CQ53" i="1"/>
  <c r="CS53" i="1" s="1"/>
  <c r="CQ306" i="1"/>
  <c r="CS306" i="1" s="1"/>
  <c r="CQ314" i="1"/>
  <c r="CW314" i="1" s="1"/>
  <c r="CQ346" i="1"/>
  <c r="CW346" i="1" s="1"/>
  <c r="CQ157" i="1"/>
  <c r="CW157" i="1" s="1"/>
  <c r="CQ89" i="1"/>
  <c r="CW89" i="1" s="1"/>
  <c r="CQ149" i="1"/>
  <c r="CS149" i="1" s="1"/>
  <c r="CQ422" i="1"/>
  <c r="CW422" i="1" s="1"/>
  <c r="CQ109" i="1"/>
  <c r="CS109" i="1" s="1"/>
  <c r="CU109" i="1" s="1"/>
  <c r="CQ402" i="1"/>
  <c r="CS402" i="1" s="1"/>
  <c r="CQ255" i="1"/>
  <c r="CW255" i="1" s="1"/>
  <c r="CQ275" i="1"/>
  <c r="CW275" i="1" s="1"/>
  <c r="CQ348" i="1"/>
  <c r="CS348" i="1" s="1"/>
  <c r="CQ184" i="1"/>
  <c r="CW184" i="1" s="1"/>
  <c r="CQ122" i="1"/>
  <c r="CS122" i="1" s="1"/>
  <c r="CQ393" i="1"/>
  <c r="CS393" i="1" s="1"/>
  <c r="CT393" i="1" s="1"/>
  <c r="CQ440" i="1"/>
  <c r="CS440" i="1" s="1"/>
  <c r="CQ96" i="1"/>
  <c r="CW96" i="1" s="1"/>
  <c r="CQ98" i="1"/>
  <c r="CS98" i="1" s="1"/>
  <c r="CQ155" i="1"/>
  <c r="CS155" i="1" s="1"/>
  <c r="CT155" i="1" s="1"/>
  <c r="CQ183" i="1"/>
  <c r="CW183" i="1" s="1"/>
  <c r="CQ363" i="1"/>
  <c r="CS363" i="1" s="1"/>
  <c r="CQ211" i="1"/>
  <c r="CS211" i="1" s="1"/>
  <c r="CQ439" i="1"/>
  <c r="CW439" i="1" s="1"/>
  <c r="CQ353" i="1"/>
  <c r="CW353" i="1" s="1"/>
  <c r="CQ331" i="1"/>
  <c r="CW331" i="1" s="1"/>
  <c r="CQ251" i="1"/>
  <c r="CW251" i="1" s="1"/>
  <c r="CQ287" i="1"/>
  <c r="CW287" i="1" s="1"/>
  <c r="CQ153" i="1"/>
  <c r="CV153" i="1" s="1"/>
  <c r="CQ327" i="1"/>
  <c r="CV327" i="1" s="1"/>
  <c r="CQ340" i="1"/>
  <c r="CW340" i="1" s="1"/>
  <c r="AU24" i="13"/>
  <c r="AR24" i="13"/>
  <c r="AT24" i="13"/>
  <c r="AQ24" i="13"/>
  <c r="AS24" i="13"/>
  <c r="BA24" i="13"/>
  <c r="AZ24" i="13"/>
  <c r="BB24" i="13"/>
  <c r="AY24" i="13"/>
  <c r="AX24" i="13"/>
  <c r="AF19" i="13"/>
  <c r="AG19" i="13"/>
  <c r="AE19" i="13"/>
  <c r="AD19" i="13"/>
  <c r="AC19" i="13"/>
  <c r="CQ115" i="1"/>
  <c r="CS115" i="1" s="1"/>
  <c r="CQ242" i="1"/>
  <c r="CS242" i="1" s="1"/>
  <c r="CQ52" i="1"/>
  <c r="CS52" i="1" s="1"/>
  <c r="CQ74" i="1"/>
  <c r="CW74" i="1" s="1"/>
  <c r="CQ213" i="1"/>
  <c r="CS213" i="1" s="1"/>
  <c r="CQ256" i="1"/>
  <c r="CS256" i="1" s="1"/>
  <c r="CQ257" i="1"/>
  <c r="CV257" i="1" s="1"/>
  <c r="CQ16" i="1"/>
  <c r="CS16" i="1" s="1"/>
  <c r="CQ425" i="1"/>
  <c r="CS425" i="1" s="1"/>
  <c r="CQ199" i="1"/>
  <c r="CS199" i="1" s="1"/>
  <c r="CU199" i="1" s="1"/>
  <c r="CQ342" i="1"/>
  <c r="CS342" i="1" s="1"/>
  <c r="CQ345" i="1"/>
  <c r="CS345" i="1" s="1"/>
  <c r="CQ140" i="1"/>
  <c r="CS140" i="1" s="1"/>
  <c r="CT140" i="1" s="1"/>
  <c r="CQ103" i="1"/>
  <c r="CS103" i="1" s="1"/>
  <c r="CQ43" i="1"/>
  <c r="CS43" i="1" s="1"/>
  <c r="CT43" i="1" s="1"/>
  <c r="CQ165" i="1"/>
  <c r="CW165" i="1" s="1"/>
  <c r="CQ427" i="1"/>
  <c r="CS427" i="1" s="1"/>
  <c r="CQ209" i="1"/>
  <c r="CV209" i="1" s="1"/>
  <c r="CQ82" i="1"/>
  <c r="CW82" i="1" s="1"/>
  <c r="CQ23" i="1"/>
  <c r="CS23" i="1" s="1"/>
  <c r="CQ48" i="1"/>
  <c r="CS48" i="1" s="1"/>
  <c r="CQ39" i="1"/>
  <c r="CS39" i="1" s="1"/>
  <c r="CQ212" i="1"/>
  <c r="CS212" i="1" s="1"/>
  <c r="CQ60" i="1"/>
  <c r="CS60" i="1" s="1"/>
  <c r="CQ315" i="1"/>
  <c r="CW315" i="1" s="1"/>
  <c r="CQ61" i="1"/>
  <c r="CS61" i="1" s="1"/>
  <c r="CQ177" i="1"/>
  <c r="CS177" i="1" s="1"/>
  <c r="CQ300" i="1"/>
  <c r="CS300" i="1" s="1"/>
  <c r="CQ343" i="1"/>
  <c r="CW343" i="1" s="1"/>
  <c r="CQ232" i="1"/>
  <c r="CS232" i="1" s="1"/>
  <c r="CQ309" i="1"/>
  <c r="CS309" i="1" s="1"/>
  <c r="CQ55" i="1"/>
  <c r="CS55" i="1" s="1"/>
  <c r="CQ69" i="1"/>
  <c r="CS69" i="1" s="1"/>
  <c r="CQ158" i="1"/>
  <c r="CW158" i="1" s="1"/>
  <c r="CQ436" i="1"/>
  <c r="CW436" i="1" s="1"/>
  <c r="CQ388" i="1"/>
  <c r="CW388" i="1" s="1"/>
  <c r="CQ420" i="1"/>
  <c r="CS420" i="1" s="1"/>
  <c r="CT420" i="1" s="1"/>
  <c r="CQ64" i="1"/>
  <c r="CS64" i="1" s="1"/>
  <c r="CQ355" i="1"/>
  <c r="CW355" i="1" s="1"/>
  <c r="CQ426" i="1"/>
  <c r="CS426" i="1" s="1"/>
  <c r="CQ456" i="1"/>
  <c r="CV456" i="1" s="1"/>
  <c r="CQ263" i="1"/>
  <c r="CS263" i="1" s="1"/>
  <c r="CQ116" i="1"/>
  <c r="CW116" i="1" s="1"/>
  <c r="CQ138" i="1"/>
  <c r="CS138" i="1" s="1"/>
  <c r="CQ102" i="1"/>
  <c r="CS102" i="1" s="1"/>
  <c r="CQ67" i="1"/>
  <c r="CS67" i="1" s="1"/>
  <c r="CQ91" i="1"/>
  <c r="CW91" i="1" s="1"/>
  <c r="CQ42" i="1"/>
  <c r="CS42" i="1" s="1"/>
  <c r="CQ416" i="1"/>
  <c r="CS416" i="1" s="1"/>
  <c r="CQ261" i="1"/>
  <c r="CW261" i="1" s="1"/>
  <c r="CQ267" i="1"/>
  <c r="CS267" i="1" s="1"/>
  <c r="CQ369" i="1"/>
  <c r="CS369" i="1" s="1"/>
  <c r="CQ378" i="1"/>
  <c r="CS378" i="1" s="1"/>
  <c r="CQ407" i="1"/>
  <c r="CS407" i="1" s="1"/>
  <c r="CQ291" i="1"/>
  <c r="CW291" i="1" s="1"/>
  <c r="CQ270" i="1"/>
  <c r="CW270" i="1" s="1"/>
  <c r="CQ441" i="1"/>
  <c r="CS441" i="1" s="1"/>
  <c r="CQ79" i="1"/>
  <c r="CS79" i="1" s="1"/>
  <c r="CQ249" i="1"/>
  <c r="CW249" i="1" s="1"/>
  <c r="CQ124" i="1"/>
  <c r="CS124" i="1" s="1"/>
  <c r="CQ80" i="1"/>
  <c r="CW80" i="1" s="1"/>
  <c r="CQ461" i="1"/>
  <c r="CV461" i="1" s="1"/>
  <c r="CQ365" i="1"/>
  <c r="CW365" i="1" s="1"/>
  <c r="CQ397" i="1"/>
  <c r="CS397" i="1" s="1"/>
  <c r="CT397" i="1" s="1"/>
  <c r="CQ7" i="1"/>
  <c r="CS7" i="1" s="1"/>
  <c r="CQ127" i="1"/>
  <c r="CW127" i="1" s="1"/>
  <c r="CQ101" i="1"/>
  <c r="CW101" i="1" s="1"/>
  <c r="CQ435" i="1"/>
  <c r="CS435" i="1" s="1"/>
  <c r="CQ154" i="1"/>
  <c r="CS154" i="1" s="1"/>
  <c r="CQ176" i="1"/>
  <c r="CW176" i="1" s="1"/>
  <c r="CQ65" i="1"/>
  <c r="CW65" i="1" s="1"/>
  <c r="CQ334" i="1"/>
  <c r="CS334" i="1" s="1"/>
  <c r="CQ262" i="1"/>
  <c r="CW262" i="1" s="1"/>
  <c r="CQ316" i="1"/>
  <c r="CS316" i="1" s="1"/>
  <c r="CQ202" i="1"/>
  <c r="CS202" i="1" s="1"/>
  <c r="CQ338" i="1"/>
  <c r="CS338" i="1" s="1"/>
  <c r="CQ136" i="1"/>
  <c r="CS136" i="1" s="1"/>
  <c r="CQ254" i="1"/>
  <c r="CS254" i="1" s="1"/>
  <c r="CQ228" i="1"/>
  <c r="CW228" i="1" s="1"/>
  <c r="CQ356" i="1"/>
  <c r="CS356" i="1" s="1"/>
  <c r="CQ313" i="1"/>
  <c r="CS313" i="1" s="1"/>
  <c r="CQ117" i="1"/>
  <c r="CS117" i="1" s="1"/>
  <c r="CQ66" i="1"/>
  <c r="CW66" i="1" s="1"/>
  <c r="CQ243" i="1"/>
  <c r="CS243" i="1" s="1"/>
  <c r="CQ31" i="1"/>
  <c r="CS31" i="1" s="1"/>
  <c r="CQ371" i="1"/>
  <c r="CW371" i="1" s="1"/>
  <c r="CQ462" i="1"/>
  <c r="CV462" i="1" s="1"/>
  <c r="CQ253" i="1"/>
  <c r="CS253" i="1" s="1"/>
  <c r="CQ286" i="1"/>
  <c r="CS286" i="1" s="1"/>
  <c r="CQ30" i="1"/>
  <c r="CS30" i="1" s="1"/>
  <c r="CQ88" i="1"/>
  <c r="CW88" i="1" s="1"/>
  <c r="CQ22" i="1"/>
  <c r="CS22" i="1" s="1"/>
  <c r="CT22" i="1" s="1"/>
  <c r="CQ59" i="1"/>
  <c r="CW59" i="1" s="1"/>
  <c r="CQ190" i="1"/>
  <c r="CS190" i="1" s="1"/>
  <c r="CQ144" i="1"/>
  <c r="CW144" i="1" s="1"/>
  <c r="CQ128" i="1"/>
  <c r="CS128" i="1" s="1"/>
  <c r="CT128" i="1" s="1"/>
  <c r="CQ280" i="1"/>
  <c r="CS280" i="1" s="1"/>
  <c r="CQ364" i="1"/>
  <c r="CS364" i="1" s="1"/>
  <c r="CQ29" i="1"/>
  <c r="CW29" i="1" s="1"/>
  <c r="CQ413" i="1"/>
  <c r="CW413" i="1" s="1"/>
  <c r="CQ376" i="1"/>
  <c r="CS376" i="1" s="1"/>
  <c r="CQ266" i="1"/>
  <c r="CW266" i="1" s="1"/>
  <c r="CQ404" i="1"/>
  <c r="CS404" i="1" s="1"/>
  <c r="CQ28" i="1"/>
  <c r="CS28" i="1" s="1"/>
  <c r="CQ34" i="1"/>
  <c r="CS34" i="1" s="1"/>
  <c r="CQ358" i="1"/>
  <c r="CW358" i="1" s="1"/>
  <c r="CQ94" i="1"/>
  <c r="CW94" i="1" s="1"/>
  <c r="CQ235" i="1"/>
  <c r="CW235" i="1" s="1"/>
  <c r="CQ398" i="1"/>
  <c r="CS398" i="1" s="1"/>
  <c r="CQ444" i="1"/>
  <c r="CW444" i="1" s="1"/>
  <c r="CQ282" i="1"/>
  <c r="CW282" i="1" s="1"/>
  <c r="CQ375" i="1"/>
  <c r="CS375" i="1" s="1"/>
  <c r="CU375" i="1" s="1"/>
  <c r="CQ290" i="1"/>
  <c r="CW290" i="1" s="1"/>
  <c r="CQ354" i="1"/>
  <c r="CS354" i="1" s="1"/>
  <c r="CQ410" i="1"/>
  <c r="CS410" i="1" s="1"/>
  <c r="CQ396" i="1"/>
  <c r="CS396" i="1" s="1"/>
  <c r="CQ90" i="1"/>
  <c r="CS90" i="1" s="1"/>
  <c r="CQ288" i="1"/>
  <c r="CS288" i="1" s="1"/>
  <c r="CU288" i="1" s="1"/>
  <c r="CQ225" i="1"/>
  <c r="CW225" i="1" s="1"/>
  <c r="CQ11" i="1"/>
  <c r="CW11" i="1" s="1"/>
  <c r="CQ417" i="1"/>
  <c r="CS417" i="1" s="1"/>
  <c r="CQ188" i="1"/>
  <c r="CS188" i="1" s="1"/>
  <c r="CQ389" i="1"/>
  <c r="CS389" i="1" s="1"/>
  <c r="CQ137" i="1"/>
  <c r="CS137" i="1" s="1"/>
  <c r="CQ191" i="1"/>
  <c r="CS191" i="1" s="1"/>
  <c r="CQ265" i="1"/>
  <c r="CS265" i="1" s="1"/>
  <c r="CQ248" i="1"/>
  <c r="CS248" i="1" s="1"/>
  <c r="CQ324" i="1"/>
  <c r="CW324" i="1" s="1"/>
  <c r="CQ297" i="1"/>
  <c r="CW297" i="1" s="1"/>
  <c r="CQ92" i="1"/>
  <c r="CS92" i="1" s="1"/>
  <c r="CQ172" i="1"/>
  <c r="CS172" i="1" s="1"/>
  <c r="CQ237" i="1"/>
  <c r="CW237" i="1" s="1"/>
  <c r="CQ447" i="1"/>
  <c r="CV447" i="1" s="1"/>
  <c r="CQ374" i="1"/>
  <c r="CS374" i="1" s="1"/>
  <c r="CQ189" i="1"/>
  <c r="CS189" i="1" s="1"/>
  <c r="CU189" i="1" s="1"/>
  <c r="CQ107" i="1"/>
  <c r="CS107" i="1" s="1"/>
  <c r="CT107" i="1" s="1"/>
  <c r="CQ125" i="1"/>
  <c r="CW125" i="1" s="1"/>
  <c r="CQ292" i="1"/>
  <c r="CW292" i="1" s="1"/>
  <c r="CQ455" i="1"/>
  <c r="CV455" i="1" s="1"/>
  <c r="CQ151" i="1"/>
  <c r="CS151" i="1" s="1"/>
  <c r="CQ317" i="1"/>
  <c r="CS317" i="1" s="1"/>
  <c r="CU317" i="1" s="1"/>
  <c r="CQ259" i="1"/>
  <c r="CW259" i="1" s="1"/>
  <c r="CQ446" i="1"/>
  <c r="CV446" i="1" s="1"/>
  <c r="CQ349" i="1"/>
  <c r="CW349" i="1" s="1"/>
  <c r="CQ106" i="1"/>
  <c r="CS106" i="1" s="1"/>
  <c r="CT106" i="1" s="1"/>
  <c r="CQ179" i="1"/>
  <c r="CS179" i="1" s="1"/>
  <c r="CQ63" i="1"/>
  <c r="CS63" i="1" s="1"/>
  <c r="CQ333" i="1"/>
  <c r="CS333" i="1" s="1"/>
  <c r="CU333" i="1" s="1"/>
  <c r="CQ293" i="1"/>
  <c r="CS293" i="1" s="1"/>
  <c r="CQ110" i="1"/>
  <c r="CV110" i="1" s="1"/>
  <c r="CQ279" i="1"/>
  <c r="CW279" i="1" s="1"/>
  <c r="CQ268" i="1"/>
  <c r="CW268" i="1" s="1"/>
  <c r="CQ208" i="1"/>
  <c r="CS208" i="1" s="1"/>
  <c r="CQ169" i="1"/>
  <c r="CS169" i="1" s="1"/>
  <c r="CQ303" i="1"/>
  <c r="CS303" i="1" s="1"/>
  <c r="CQ241" i="1"/>
  <c r="CW241" i="1" s="1"/>
  <c r="CQ325" i="1"/>
  <c r="CW325" i="1" s="1"/>
  <c r="CQ171" i="1"/>
  <c r="CW171" i="1" s="1"/>
  <c r="CQ238" i="1"/>
  <c r="CS238" i="1" s="1"/>
  <c r="CQ450" i="1"/>
  <c r="CV450" i="1" s="1"/>
  <c r="CQ182" i="1"/>
  <c r="CW182" i="1" s="1"/>
  <c r="CQ173" i="1"/>
  <c r="CS173" i="1" s="1"/>
  <c r="CQ421" i="1"/>
  <c r="CW421" i="1" s="1"/>
  <c r="CQ201" i="1"/>
  <c r="CW201" i="1" s="1"/>
  <c r="CQ71" i="1"/>
  <c r="CW71" i="1" s="1"/>
  <c r="CQ227" i="1"/>
  <c r="CW227" i="1" s="1"/>
  <c r="CQ95" i="1"/>
  <c r="CS95" i="1" s="1"/>
  <c r="CQ215" i="1"/>
  <c r="CS215" i="1" s="1"/>
  <c r="CQ302" i="1"/>
  <c r="CW302" i="1" s="1"/>
  <c r="CQ219" i="1"/>
  <c r="CW219" i="1" s="1"/>
  <c r="CQ379" i="1"/>
  <c r="CS379" i="1" s="1"/>
  <c r="CQ319" i="1"/>
  <c r="CS319" i="1" s="1"/>
  <c r="CQ210" i="1"/>
  <c r="CW210" i="1" s="1"/>
  <c r="CQ318" i="1"/>
  <c r="CW318" i="1" s="1"/>
  <c r="CQ216" i="1"/>
  <c r="CS216" i="1" s="1"/>
  <c r="CQ167" i="1"/>
  <c r="CS167" i="1" s="1"/>
  <c r="CQ150" i="1"/>
  <c r="CS150" i="1" s="1"/>
  <c r="CQ20" i="1"/>
  <c r="CS20" i="1" s="1"/>
  <c r="CQ204" i="1"/>
  <c r="CS204" i="1" s="1"/>
  <c r="CQ73" i="1"/>
  <c r="CS73" i="1" s="1"/>
  <c r="CQ332" i="1"/>
  <c r="CW332" i="1" s="1"/>
  <c r="CQ78" i="1"/>
  <c r="CW78" i="1" s="1"/>
  <c r="CQ438" i="1"/>
  <c r="CS438" i="1" s="1"/>
  <c r="CQ104" i="1"/>
  <c r="CW104" i="1" s="1"/>
  <c r="CQ187" i="1"/>
  <c r="CW187" i="1" s="1"/>
  <c r="CQ246" i="1"/>
  <c r="CS246" i="1" s="1"/>
  <c r="CQ218" i="1"/>
  <c r="CS218" i="1" s="1"/>
  <c r="CQ323" i="1"/>
  <c r="CW323" i="1" s="1"/>
  <c r="CQ105" i="1"/>
  <c r="CS105" i="1" s="1"/>
  <c r="CQ72" i="1"/>
  <c r="CW72" i="1" s="1"/>
  <c r="CQ70" i="1"/>
  <c r="CS70" i="1" s="1"/>
  <c r="CQ47" i="1"/>
  <c r="CW47" i="1" s="1"/>
  <c r="CQ25" i="1"/>
  <c r="CS25" i="1" s="1"/>
  <c r="CQ58" i="1"/>
  <c r="CW58" i="1" s="1"/>
  <c r="CQ431" i="1"/>
  <c r="CS431" i="1" s="1"/>
  <c r="CQ281" i="1"/>
  <c r="CS281" i="1" s="1"/>
  <c r="CQ217" i="1"/>
  <c r="CS217" i="1" s="1"/>
  <c r="CQ19" i="1"/>
  <c r="CW19" i="1" s="1"/>
  <c r="CQ451" i="1"/>
  <c r="CV451" i="1" s="1"/>
  <c r="CQ367" i="1"/>
  <c r="CS367" i="1" s="1"/>
  <c r="CQ77" i="1"/>
  <c r="CS77" i="1" s="1"/>
  <c r="CT77" i="1" s="1"/>
  <c r="CQ133" i="1"/>
  <c r="CS133" i="1" s="1"/>
  <c r="CQ433" i="1"/>
  <c r="CS433" i="1" s="1"/>
  <c r="CT433" i="1" s="1"/>
  <c r="CQ170" i="1"/>
  <c r="CS170" i="1" s="1"/>
  <c r="CQ49" i="1"/>
  <c r="CW49" i="1" s="1"/>
  <c r="CQ273" i="1"/>
  <c r="CW273" i="1" s="1"/>
  <c r="CQ239" i="1"/>
  <c r="CS239" i="1" s="1"/>
  <c r="CT239" i="1" s="1"/>
  <c r="CQ121" i="1"/>
  <c r="CS121" i="1" s="1"/>
  <c r="CQ360" i="1"/>
  <c r="CW360" i="1" s="1"/>
  <c r="CQ17" i="1"/>
  <c r="CS17" i="1" s="1"/>
  <c r="CU17" i="1" s="1"/>
  <c r="CQ224" i="1"/>
  <c r="CS224" i="1" s="1"/>
  <c r="CT224" i="1" s="1"/>
  <c r="CQ56" i="1"/>
  <c r="CS56" i="1" s="1"/>
  <c r="CQ130" i="1"/>
  <c r="CS130" i="1" s="1"/>
  <c r="CU130" i="1" s="1"/>
  <c r="CQ415" i="1"/>
  <c r="CS415" i="1" s="1"/>
  <c r="CQ283" i="1"/>
  <c r="CS283" i="1" s="1"/>
  <c r="CQ264" i="1"/>
  <c r="CS264" i="1" s="1"/>
  <c r="CQ336" i="1"/>
  <c r="CS336" i="1" s="1"/>
  <c r="CU336" i="1" s="1"/>
  <c r="CQ186" i="1"/>
  <c r="CS186" i="1" s="1"/>
  <c r="CQ145" i="1"/>
  <c r="CS145" i="1" s="1"/>
  <c r="CU145" i="1" s="1"/>
  <c r="CQ229" i="1"/>
  <c r="CS229" i="1" s="1"/>
  <c r="CQ437" i="1"/>
  <c r="CS437" i="1" s="1"/>
  <c r="CU437" i="1" s="1"/>
  <c r="CQ307" i="1"/>
  <c r="CS307" i="1" s="1"/>
  <c r="CQ382" i="1"/>
  <c r="CS382" i="1" s="1"/>
  <c r="CU382" i="1" s="1"/>
  <c r="CQ240" i="1"/>
  <c r="CS240" i="1" s="1"/>
  <c r="CQ86" i="1"/>
  <c r="CS86" i="1" s="1"/>
  <c r="CT86" i="1" s="1"/>
  <c r="CQ245" i="1"/>
  <c r="CW245" i="1" s="1"/>
  <c r="CQ304" i="1"/>
  <c r="CS304" i="1" s="1"/>
  <c r="CU304" i="1" s="1"/>
  <c r="CQ118" i="1"/>
  <c r="CS118" i="1" s="1"/>
  <c r="CQ414" i="1"/>
  <c r="CS414" i="1" s="1"/>
  <c r="CT414" i="1" s="1"/>
  <c r="CQ252" i="1"/>
  <c r="CV252" i="1" s="1"/>
  <c r="CQ449" i="1"/>
  <c r="CV449" i="1" s="1"/>
  <c r="CQ181" i="1"/>
  <c r="CW181" i="1" s="1"/>
  <c r="CQ442" i="1"/>
  <c r="CS442" i="1" s="1"/>
  <c r="CQ448" i="1"/>
  <c r="CV448" i="1" s="1"/>
  <c r="CQ166" i="1"/>
  <c r="CS166" i="1" s="1"/>
  <c r="CT166" i="1" s="1"/>
  <c r="CQ296" i="1"/>
  <c r="CS296" i="1" s="1"/>
  <c r="CQ335" i="1"/>
  <c r="CS335" i="1" s="1"/>
  <c r="CT335" i="1" s="1"/>
  <c r="CQ75" i="1"/>
  <c r="CW75" i="1" s="1"/>
  <c r="CQ123" i="1"/>
  <c r="CW123" i="1" s="1"/>
  <c r="CQ328" i="1"/>
  <c r="CS328" i="1" s="1"/>
  <c r="CQ399" i="1"/>
  <c r="CS399" i="1" s="1"/>
  <c r="CQ99" i="1"/>
  <c r="CS99" i="1" s="1"/>
  <c r="CQ156" i="1"/>
  <c r="CS156" i="1" s="1"/>
  <c r="CQ126" i="1"/>
  <c r="CS126" i="1" s="1"/>
  <c r="CQ175" i="1"/>
  <c r="CS175" i="1" s="1"/>
  <c r="CQ387" i="1"/>
  <c r="CS387" i="1" s="1"/>
  <c r="CQ81" i="1"/>
  <c r="CS81" i="1" s="1"/>
  <c r="CQ159" i="1"/>
  <c r="CS159" i="1" s="1"/>
  <c r="CQ285" i="1"/>
  <c r="CW285" i="1" s="1"/>
  <c r="CQ337" i="1"/>
  <c r="CS337" i="1" s="1"/>
  <c r="CQ112" i="1"/>
  <c r="CV112" i="1" s="1"/>
  <c r="CQ163" i="1"/>
  <c r="CS163" i="1" s="1"/>
  <c r="CU163" i="1" s="1"/>
  <c r="CQ12" i="1"/>
  <c r="CW12" i="1" s="1"/>
  <c r="CQ207" i="1"/>
  <c r="CW207" i="1" s="1"/>
  <c r="CQ214" i="1"/>
  <c r="CW214" i="1" s="1"/>
  <c r="CQ85" i="1"/>
  <c r="CW85" i="1" s="1"/>
  <c r="CQ274" i="1"/>
  <c r="CS274" i="1" s="1"/>
  <c r="CQ432" i="1"/>
  <c r="CW432" i="1" s="1"/>
  <c r="CQ114" i="1"/>
  <c r="CS114" i="1" s="1"/>
  <c r="CT114" i="1" s="1"/>
  <c r="CQ361" i="1"/>
  <c r="CW361" i="1" s="1"/>
  <c r="CQ132" i="1"/>
  <c r="CS132" i="1" s="1"/>
  <c r="CT132" i="1" s="1"/>
  <c r="CQ35" i="1"/>
  <c r="CS35" i="1" s="1"/>
  <c r="CQ44" i="1"/>
  <c r="CW44" i="1" s="1"/>
  <c r="CQ394" i="1"/>
  <c r="CW394" i="1" s="1"/>
  <c r="CQ312" i="1"/>
  <c r="CS312" i="1" s="1"/>
  <c r="CU312" i="1" s="1"/>
  <c r="CQ203" i="1"/>
  <c r="CW203" i="1" s="1"/>
  <c r="CQ458" i="1"/>
  <c r="CV458" i="1" s="1"/>
  <c r="CQ411" i="1"/>
  <c r="CS411" i="1" s="1"/>
  <c r="CQ146" i="1"/>
  <c r="CS146" i="1" s="1"/>
  <c r="CT146" i="1" s="1"/>
  <c r="CQ429" i="1"/>
  <c r="CS429" i="1" s="1"/>
  <c r="CQ443" i="1"/>
  <c r="CS443" i="1" s="1"/>
  <c r="CQ32" i="1"/>
  <c r="CQ220" i="1"/>
  <c r="CS220" i="1" s="1"/>
  <c r="CQ383" i="1"/>
  <c r="CS383" i="1" s="1"/>
  <c r="CT383" i="1" s="1"/>
  <c r="CQ289" i="1"/>
  <c r="CS289" i="1" s="1"/>
  <c r="CQ294" i="1"/>
  <c r="CS294" i="1" s="1"/>
  <c r="CQ87" i="1"/>
  <c r="CS87" i="1" s="1"/>
  <c r="CQ341" i="1"/>
  <c r="CS341" i="1" s="1"/>
  <c r="CU341" i="1" s="1"/>
  <c r="CQ13" i="1"/>
  <c r="CS13" i="1" s="1"/>
  <c r="CQ295" i="1"/>
  <c r="CS295" i="1" s="1"/>
  <c r="CQ161" i="1"/>
  <c r="CS161" i="1" s="1"/>
  <c r="CQ305" i="1"/>
  <c r="CW305" i="1" s="1"/>
  <c r="CQ372" i="1"/>
  <c r="CW372" i="1" s="1"/>
  <c r="CQ344" i="1"/>
  <c r="CS344" i="1" s="1"/>
  <c r="CQ391" i="1"/>
  <c r="CS391" i="1" s="1"/>
  <c r="CQ434" i="1"/>
  <c r="CW434" i="1" s="1"/>
  <c r="CQ198" i="1"/>
  <c r="CS198" i="1" s="1"/>
  <c r="CQ226" i="1"/>
  <c r="CS226" i="1" s="1"/>
  <c r="CQ21" i="1"/>
  <c r="CW21" i="1" s="1"/>
  <c r="CQ148" i="1"/>
  <c r="CS148" i="1" s="1"/>
  <c r="CQ174" i="1"/>
  <c r="CS174" i="1" s="1"/>
  <c r="CQ223" i="1"/>
  <c r="CS223" i="1" s="1"/>
  <c r="CQ277" i="1"/>
  <c r="CS277" i="1" s="1"/>
  <c r="CT277" i="1" s="1"/>
  <c r="CQ276" i="1"/>
  <c r="CS276" i="1" s="1"/>
  <c r="CQ460" i="1"/>
  <c r="CV460" i="1" s="1"/>
  <c r="CQ368" i="1"/>
  <c r="CS368" i="1" s="1"/>
  <c r="CQ322" i="1"/>
  <c r="CS322" i="1" s="1"/>
  <c r="CQ192" i="1"/>
  <c r="CW192" i="1" s="1"/>
  <c r="CQ143" i="1"/>
  <c r="CS143" i="1" s="1"/>
  <c r="CQ195" i="1"/>
  <c r="CW195" i="1" s="1"/>
  <c r="CQ51" i="1"/>
  <c r="CS51" i="1" s="1"/>
  <c r="CQ193" i="1"/>
  <c r="CS193" i="1" s="1"/>
  <c r="CQ244" i="1"/>
  <c r="CW244" i="1" s="1"/>
  <c r="CQ445" i="1"/>
  <c r="CS445" i="1" s="1"/>
  <c r="CQ113" i="1"/>
  <c r="CS113" i="1" s="1"/>
  <c r="CQ351" i="1"/>
  <c r="CS351" i="1" s="1"/>
  <c r="CQ111" i="1"/>
  <c r="CS111" i="1" s="1"/>
  <c r="CQ3" i="1"/>
  <c r="CW3" i="1" s="1"/>
  <c r="CQ119" i="1"/>
  <c r="CS119" i="1" s="1"/>
  <c r="CQ269" i="1"/>
  <c r="CS269" i="1" s="1"/>
  <c r="CQ385" i="1"/>
  <c r="CS385" i="1" s="1"/>
  <c r="CQ301" i="1"/>
  <c r="CS301" i="1" s="1"/>
  <c r="CQ424" i="1"/>
  <c r="CW424" i="1" s="1"/>
  <c r="CQ359" i="1"/>
  <c r="CW359" i="1" s="1"/>
  <c r="CQ41" i="1"/>
  <c r="CW41" i="1" s="1"/>
  <c r="CQ419" i="1"/>
  <c r="CW419" i="1" s="1"/>
  <c r="CQ180" i="1"/>
  <c r="CS180" i="1" s="1"/>
  <c r="CQ457" i="1"/>
  <c r="CV457" i="1" s="1"/>
  <c r="CQ347" i="1"/>
  <c r="CS347" i="1" s="1"/>
  <c r="CQ27" i="1"/>
  <c r="CS27" i="1" s="1"/>
  <c r="CQ350" i="1"/>
  <c r="CS350" i="1" s="1"/>
  <c r="CQ430" i="1"/>
  <c r="CW430" i="1" s="1"/>
  <c r="CQ37" i="1"/>
  <c r="CS37" i="1" s="1"/>
  <c r="CQ162" i="1"/>
  <c r="CW162" i="1" s="1"/>
  <c r="CQ97" i="1"/>
  <c r="CW97" i="1" s="1"/>
  <c r="CQ62" i="1"/>
  <c r="CW62" i="1" s="1"/>
  <c r="CQ384" i="1"/>
  <c r="CS384" i="1" s="1"/>
  <c r="CQ18" i="1"/>
  <c r="CS18" i="1" s="1"/>
  <c r="CU18" i="1" s="1"/>
  <c r="CQ231" i="1"/>
  <c r="CS231" i="1" s="1"/>
  <c r="CQ68" i="1"/>
  <c r="CW68" i="1" s="1"/>
  <c r="CQ141" i="1"/>
  <c r="CW141" i="1" s="1"/>
  <c r="CQ258" i="1"/>
  <c r="CS258" i="1" s="1"/>
  <c r="CQ196" i="1"/>
  <c r="CW196" i="1" s="1"/>
  <c r="CQ236" i="1"/>
  <c r="CW236" i="1" s="1"/>
  <c r="CQ131" i="1"/>
  <c r="CW131" i="1" s="1"/>
  <c r="CQ298" i="1"/>
  <c r="CW298" i="1" s="1"/>
  <c r="CQ271" i="1"/>
  <c r="CW271" i="1" s="1"/>
  <c r="CQ233" i="1"/>
  <c r="CW233" i="1" s="1"/>
  <c r="CQ299" i="1"/>
  <c r="CS299" i="1" s="1"/>
  <c r="CQ230" i="1"/>
  <c r="CS230" i="1" s="1"/>
  <c r="CU230" i="1" s="1"/>
  <c r="CQ310" i="1"/>
  <c r="CS310" i="1" s="1"/>
  <c r="CQ45" i="1"/>
  <c r="CW45" i="1" s="1"/>
  <c r="CQ178" i="1"/>
  <c r="CS178" i="1" s="1"/>
  <c r="CQ329" i="1"/>
  <c r="CS329" i="1" s="1"/>
  <c r="CQ308" i="1"/>
  <c r="CS308" i="1" s="1"/>
  <c r="CQ152" i="1"/>
  <c r="CW152" i="1" s="1"/>
  <c r="CQ84" i="1"/>
  <c r="CW84" i="1" s="1"/>
  <c r="CQ194" i="1"/>
  <c r="CS194" i="1" s="1"/>
  <c r="CT194" i="1" s="1"/>
  <c r="CQ200" i="1"/>
  <c r="CW200" i="1" s="1"/>
  <c r="CQ401" i="1"/>
  <c r="CW401" i="1" s="1"/>
  <c r="CQ50" i="1"/>
  <c r="CS50" i="1" s="1"/>
  <c r="CQ100" i="1"/>
  <c r="CW100" i="1" s="1"/>
  <c r="CQ108" i="1"/>
  <c r="CS108" i="1" s="1"/>
  <c r="CQ24" i="1"/>
  <c r="CW24" i="1" s="1"/>
  <c r="CQ206" i="1"/>
  <c r="CS206" i="1" s="1"/>
  <c r="CQ164" i="1"/>
  <c r="CS164" i="1" s="1"/>
  <c r="CQ4" i="1"/>
  <c r="CS4" i="1" s="1"/>
  <c r="CQ392" i="1"/>
  <c r="CW392" i="1" s="1"/>
  <c r="CT326" i="1"/>
  <c r="CT370" i="1"/>
  <c r="CU320" i="1"/>
  <c r="CU40" i="1"/>
  <c r="CU406" i="1"/>
  <c r="CU147" i="1"/>
  <c r="CU46" i="1"/>
  <c r="CU409" i="1"/>
  <c r="CV409" i="1" s="1"/>
  <c r="CU400" i="1"/>
  <c r="CV400" i="1" s="1"/>
  <c r="CU418" i="1"/>
  <c r="CU135" i="1"/>
  <c r="CT247" i="1"/>
  <c r="CT234" i="1"/>
  <c r="CU5" i="1"/>
  <c r="CT222" i="1"/>
  <c r="CT321" i="1"/>
  <c r="CU386" i="1"/>
  <c r="CT197" i="1"/>
  <c r="CU6" i="1"/>
  <c r="CT6" i="1"/>
  <c r="CU205" i="1"/>
  <c r="CU9" i="1"/>
  <c r="CT185" i="1"/>
  <c r="CU366" i="1"/>
  <c r="CU120" i="1"/>
  <c r="CU134" i="1"/>
  <c r="CU321" i="1"/>
  <c r="CT221" i="1"/>
  <c r="CV221" i="1" s="1"/>
  <c r="CQ76" i="1"/>
  <c r="CQ330" i="1"/>
  <c r="CT320" i="1"/>
  <c r="CT278" i="1"/>
  <c r="CV278" i="1" s="1"/>
  <c r="CT366" i="1"/>
  <c r="CU234" i="1"/>
  <c r="CT134" i="1"/>
  <c r="CU185" i="1"/>
  <c r="CT46" i="1"/>
  <c r="CT250" i="1"/>
  <c r="CV250" i="1" s="1"/>
  <c r="CU362" i="1"/>
  <c r="CV362" i="1" s="1"/>
  <c r="CT129" i="1"/>
  <c r="CV129" i="1" s="1"/>
  <c r="CT93" i="1"/>
  <c r="CV93" i="1" s="1"/>
  <c r="CU326" i="1"/>
  <c r="CT135" i="1"/>
  <c r="CT386" i="1"/>
  <c r="CU222" i="1"/>
  <c r="CT205" i="1"/>
  <c r="CU33" i="1"/>
  <c r="CV33" i="1" s="1"/>
  <c r="CU373" i="1"/>
  <c r="CV373" i="1" s="1"/>
  <c r="CU370" i="1"/>
  <c r="CT142" i="1"/>
  <c r="CV142" i="1" s="1"/>
  <c r="CT408" i="1"/>
  <c r="CV408" i="1" s="1"/>
  <c r="CU423" i="1"/>
  <c r="CV423" i="1" s="1"/>
  <c r="CU247" i="1"/>
  <c r="CT54" i="1"/>
  <c r="CV54" i="1" s="1"/>
  <c r="CS168" i="1"/>
  <c r="CT168" i="1" s="1"/>
  <c r="CW168" i="1"/>
  <c r="CT406" i="1"/>
  <c r="CU38" i="1"/>
  <c r="CV38" i="1" s="1"/>
  <c r="CU15" i="1"/>
  <c r="CU284" i="1"/>
  <c r="CV284" i="1" s="1"/>
  <c r="CU139" i="1"/>
  <c r="CV139" i="1" s="1"/>
  <c r="CT147" i="1"/>
  <c r="CT14" i="1"/>
  <c r="CV14" i="1" s="1"/>
  <c r="CT9" i="1"/>
  <c r="CT40" i="1"/>
  <c r="CT120" i="1"/>
  <c r="CT15" i="1"/>
  <c r="CU197" i="1"/>
  <c r="CT5" i="1"/>
  <c r="CT418" i="1"/>
  <c r="CU36" i="1"/>
  <c r="CV36" i="1" s="1"/>
  <c r="CU83" i="1"/>
  <c r="CV83" i="1" s="1"/>
  <c r="CQ10" i="1"/>
  <c r="CQ403" i="1"/>
  <c r="CQ311" i="1"/>
  <c r="C11" i="3"/>
  <c r="D11" i="3" s="1"/>
  <c r="C12" i="3"/>
  <c r="H10" i="3"/>
  <c r="I10" i="3" s="1"/>
  <c r="C10" i="3"/>
  <c r="D10" i="3" s="1"/>
  <c r="H11" i="3"/>
  <c r="I11" i="3" s="1"/>
  <c r="H12" i="3"/>
  <c r="I12" i="3" s="1"/>
  <c r="D12" i="3" l="1"/>
  <c r="J17" i="3"/>
  <c r="CS261" i="1"/>
  <c r="CU153" i="1"/>
  <c r="CU209" i="1"/>
  <c r="CW242" i="1"/>
  <c r="CW199" i="1"/>
  <c r="CS127" i="1"/>
  <c r="CU127" i="1" s="1"/>
  <c r="CW79" i="1"/>
  <c r="CS176" i="1"/>
  <c r="CT176" i="1" s="1"/>
  <c r="CS219" i="1"/>
  <c r="CU219" i="1" s="1"/>
  <c r="CW30" i="1"/>
  <c r="CS158" i="1"/>
  <c r="CW393" i="1"/>
  <c r="CS439" i="1"/>
  <c r="CT439" i="1" s="1"/>
  <c r="CW61" i="1"/>
  <c r="CS422" i="1"/>
  <c r="CT422" i="1" s="1"/>
  <c r="CW316" i="1"/>
  <c r="CS412" i="1"/>
  <c r="CT412" i="1" s="1"/>
  <c r="CW92" i="1"/>
  <c r="CS292" i="1"/>
  <c r="CW263" i="1"/>
  <c r="CS209" i="1"/>
  <c r="CS8" i="1"/>
  <c r="CU8" i="1" s="1"/>
  <c r="CW306" i="1"/>
  <c r="CS331" i="1"/>
  <c r="CT331" i="1" s="1"/>
  <c r="CW138" i="1"/>
  <c r="CW117" i="1"/>
  <c r="CS358" i="1"/>
  <c r="CT358" i="1" s="1"/>
  <c r="CW179" i="1"/>
  <c r="CS96" i="1"/>
  <c r="CU96" i="1" s="1"/>
  <c r="CT209" i="1"/>
  <c r="CS428" i="1"/>
  <c r="CW402" i="1"/>
  <c r="CW209" i="1"/>
  <c r="CW354" i="1"/>
  <c r="CW381" i="1"/>
  <c r="CW53" i="1"/>
  <c r="CW440" i="1"/>
  <c r="CW109" i="1"/>
  <c r="CW173" i="1"/>
  <c r="CS353" i="1"/>
  <c r="CU353" i="1" s="1"/>
  <c r="CW335" i="1"/>
  <c r="CW102" i="1"/>
  <c r="CS210" i="1"/>
  <c r="CU210" i="1" s="1"/>
  <c r="CS327" i="1"/>
  <c r="CS184" i="1"/>
  <c r="CU184" i="1" s="1"/>
  <c r="CS346" i="1"/>
  <c r="CT346" i="1" s="1"/>
  <c r="CW103" i="1"/>
  <c r="CS80" i="1"/>
  <c r="CU80" i="1" s="1"/>
  <c r="CS251" i="1"/>
  <c r="CU251" i="1" s="1"/>
  <c r="CU327" i="1"/>
  <c r="CS325" i="1"/>
  <c r="CU325" i="1" s="1"/>
  <c r="CS49" i="1"/>
  <c r="CT49" i="1" s="1"/>
  <c r="CW363" i="1"/>
  <c r="CS59" i="1"/>
  <c r="CT59" i="1" s="1"/>
  <c r="CS89" i="1"/>
  <c r="CT89" i="1" s="1"/>
  <c r="CW57" i="1"/>
  <c r="CW191" i="1"/>
  <c r="CW154" i="1"/>
  <c r="CW217" i="1"/>
  <c r="CS157" i="1"/>
  <c r="CU157" i="1" s="1"/>
  <c r="CW462" i="1"/>
  <c r="CS153" i="1"/>
  <c r="CW17" i="1"/>
  <c r="CW348" i="1"/>
  <c r="CS58" i="1"/>
  <c r="CU58" i="1" s="1"/>
  <c r="CW186" i="1"/>
  <c r="CS245" i="1"/>
  <c r="CU245" i="1" s="1"/>
  <c r="CW87" i="1"/>
  <c r="CW160" i="1"/>
  <c r="CS183" i="1"/>
  <c r="CT183" i="1" s="1"/>
  <c r="CS287" i="1"/>
  <c r="CT287" i="1" s="1"/>
  <c r="CW257" i="1"/>
  <c r="CW327" i="1"/>
  <c r="CW260" i="1"/>
  <c r="CW153" i="1"/>
  <c r="CT327" i="1"/>
  <c r="CT153" i="1"/>
  <c r="CW277" i="1"/>
  <c r="CW376" i="1"/>
  <c r="CW119" i="1"/>
  <c r="CW447" i="1"/>
  <c r="CS377" i="1"/>
  <c r="CU377" i="1" s="1"/>
  <c r="CW105" i="1"/>
  <c r="CS71" i="1"/>
  <c r="CT71" i="1" s="1"/>
  <c r="CW51" i="1"/>
  <c r="CS314" i="1"/>
  <c r="CU314" i="1" s="1"/>
  <c r="CW136" i="1"/>
  <c r="CW48" i="1"/>
  <c r="CW98" i="1"/>
  <c r="CS332" i="1"/>
  <c r="CT332" i="1" s="1"/>
  <c r="CW391" i="1"/>
  <c r="O30" i="3" a="1"/>
  <c r="O30" i="3" s="1"/>
  <c r="CW175" i="1"/>
  <c r="CW130" i="1"/>
  <c r="CS447" i="1"/>
  <c r="CW310" i="1"/>
  <c r="CS196" i="1"/>
  <c r="CU196" i="1" s="1"/>
  <c r="CS97" i="1"/>
  <c r="CU97" i="1" s="1"/>
  <c r="CW180" i="1"/>
  <c r="CS343" i="1"/>
  <c r="CT343" i="1" s="1"/>
  <c r="CW148" i="1"/>
  <c r="CS12" i="1"/>
  <c r="CU12" i="1" s="1"/>
  <c r="CW398" i="1"/>
  <c r="CS32" i="1"/>
  <c r="CT32" i="1" s="1"/>
  <c r="L33" i="3"/>
  <c r="T30" i="3"/>
  <c r="H33" i="3"/>
  <c r="P30" i="3"/>
  <c r="T33" i="3"/>
  <c r="P33" i="3"/>
  <c r="F30" i="3"/>
  <c r="H30" i="3"/>
  <c r="L30" i="3"/>
  <c r="S33" i="3" a="1"/>
  <c r="S33" i="3" s="1"/>
  <c r="K30" i="3" a="1"/>
  <c r="K30" i="3" s="1"/>
  <c r="S30" i="3" a="1"/>
  <c r="S30" i="3" s="1"/>
  <c r="CW31" i="1"/>
  <c r="CW414" i="1"/>
  <c r="CW437" i="1"/>
  <c r="CW378" i="1"/>
  <c r="CW420" i="1"/>
  <c r="CW317" i="1"/>
  <c r="CU447" i="1"/>
  <c r="CW4" i="1"/>
  <c r="CS200" i="1"/>
  <c r="CT200" i="1" s="1"/>
  <c r="CS233" i="1"/>
  <c r="CT233" i="1" s="1"/>
  <c r="CW293" i="1"/>
  <c r="CW140" i="1"/>
  <c r="CW213" i="1"/>
  <c r="CS255" i="1"/>
  <c r="CU255" i="1" s="1"/>
  <c r="CW90" i="1"/>
  <c r="K33" i="3" a="1"/>
  <c r="K33" i="3" s="1"/>
  <c r="G33" i="3" a="1"/>
  <c r="G33" i="3" s="1"/>
  <c r="CT447" i="1"/>
  <c r="G30" i="3" a="1"/>
  <c r="G30" i="3" s="1"/>
  <c r="O33" i="3" a="1"/>
  <c r="O33" i="3" s="1"/>
  <c r="CS371" i="1"/>
  <c r="CU371" i="1" s="1"/>
  <c r="CW254" i="1"/>
  <c r="CW374" i="1"/>
  <c r="CS392" i="1"/>
  <c r="CT392" i="1" s="1"/>
  <c r="CS227" i="1"/>
  <c r="CT227" i="1" s="1"/>
  <c r="CW461" i="1"/>
  <c r="CW67" i="1"/>
  <c r="CW155" i="1"/>
  <c r="CS275" i="1"/>
  <c r="CU275" i="1" s="1"/>
  <c r="CW415" i="1"/>
  <c r="CW456" i="1"/>
  <c r="CW64" i="1"/>
  <c r="CW265" i="1"/>
  <c r="CS444" i="1"/>
  <c r="CT444" i="1" s="1"/>
  <c r="CW190" i="1"/>
  <c r="CS75" i="1"/>
  <c r="CT75" i="1" s="1"/>
  <c r="CW252" i="1"/>
  <c r="CW280" i="1"/>
  <c r="CS340" i="1"/>
  <c r="CT340" i="1" s="1"/>
  <c r="CS262" i="1"/>
  <c r="CU262" i="1" s="1"/>
  <c r="CW425" i="1"/>
  <c r="CW149" i="1"/>
  <c r="CW313" i="1"/>
  <c r="CW441" i="1"/>
  <c r="CW416" i="1"/>
  <c r="CU456" i="1"/>
  <c r="CW26" i="1"/>
  <c r="CW150" i="1"/>
  <c r="CT456" i="1"/>
  <c r="CS290" i="1"/>
  <c r="CT290" i="1" s="1"/>
  <c r="CS456" i="1"/>
  <c r="CW122" i="1"/>
  <c r="CS315" i="1"/>
  <c r="CT315" i="1" s="1"/>
  <c r="CW427" i="1"/>
  <c r="CW286" i="1"/>
  <c r="CW7" i="1"/>
  <c r="CW211" i="1"/>
  <c r="CW34" i="1"/>
  <c r="CW115" i="1"/>
  <c r="CW69" i="1"/>
  <c r="AE20" i="13"/>
  <c r="AC20" i="13"/>
  <c r="AF20" i="13"/>
  <c r="AD20" i="13"/>
  <c r="AG20" i="13"/>
  <c r="Q33" i="3"/>
  <c r="M30" i="3"/>
  <c r="M33" i="3"/>
  <c r="R30" i="3"/>
  <c r="N30" i="3"/>
  <c r="J33" i="3"/>
  <c r="R33" i="3"/>
  <c r="N33" i="3"/>
  <c r="J30" i="3"/>
  <c r="F33" i="3"/>
  <c r="C30" i="3"/>
  <c r="D30" i="3" s="1"/>
  <c r="I30" i="3"/>
  <c r="C33" i="3"/>
  <c r="D33" i="3" s="1"/>
  <c r="I33" i="3"/>
  <c r="U33" i="3"/>
  <c r="Q30" i="3"/>
  <c r="U30" i="3"/>
  <c r="CS228" i="1"/>
  <c r="CU228" i="1" s="1"/>
  <c r="CS101" i="1"/>
  <c r="CU101" i="1" s="1"/>
  <c r="CS249" i="1"/>
  <c r="CT249" i="1" s="1"/>
  <c r="CS66" i="1"/>
  <c r="CU66" i="1" s="1"/>
  <c r="CW202" i="1"/>
  <c r="CS65" i="1"/>
  <c r="CT65" i="1" s="1"/>
  <c r="CS91" i="1"/>
  <c r="CT91" i="1" s="1"/>
  <c r="CS116" i="1"/>
  <c r="CU116" i="1" s="1"/>
  <c r="CS181" i="1"/>
  <c r="CU181" i="1" s="1"/>
  <c r="CW338" i="1"/>
  <c r="CW128" i="1"/>
  <c r="CW342" i="1"/>
  <c r="CS82" i="1"/>
  <c r="CT82" i="1" s="1"/>
  <c r="CW229" i="1"/>
  <c r="CW369" i="1"/>
  <c r="CW345" i="1"/>
  <c r="CW281" i="1"/>
  <c r="CS201" i="1"/>
  <c r="CT201" i="1" s="1"/>
  <c r="CW126" i="1"/>
  <c r="CW243" i="1"/>
  <c r="CW56" i="1"/>
  <c r="CW151" i="1"/>
  <c r="CS324" i="1"/>
  <c r="CT324" i="1" s="1"/>
  <c r="CS413" i="1"/>
  <c r="CU413" i="1" s="1"/>
  <c r="CS323" i="1"/>
  <c r="CU323" i="1" s="1"/>
  <c r="CS241" i="1"/>
  <c r="CT241" i="1" s="1"/>
  <c r="CS237" i="1"/>
  <c r="CU237" i="1" s="1"/>
  <c r="CW137" i="1"/>
  <c r="CS74" i="1"/>
  <c r="CT74" i="1" s="1"/>
  <c r="CW319" i="1"/>
  <c r="CW426" i="1"/>
  <c r="CS349" i="1"/>
  <c r="CU349" i="1" s="1"/>
  <c r="CS144" i="1"/>
  <c r="CT144" i="1" s="1"/>
  <c r="CS88" i="1"/>
  <c r="CT88" i="1" s="1"/>
  <c r="CU462" i="1"/>
  <c r="CS365" i="1"/>
  <c r="CT365" i="1" s="1"/>
  <c r="CS291" i="1"/>
  <c r="CT291" i="1" s="1"/>
  <c r="CS225" i="1"/>
  <c r="CU225" i="1" s="1"/>
  <c r="CS29" i="1"/>
  <c r="CU29" i="1" s="1"/>
  <c r="CU257" i="1"/>
  <c r="CS355" i="1"/>
  <c r="CU355" i="1" s="1"/>
  <c r="CS436" i="1"/>
  <c r="CT436" i="1" s="1"/>
  <c r="CS282" i="1"/>
  <c r="CT282" i="1" s="1"/>
  <c r="CW52" i="1"/>
  <c r="CT462" i="1"/>
  <c r="CW267" i="1"/>
  <c r="CW43" i="1"/>
  <c r="CW309" i="1"/>
  <c r="CW212" i="1"/>
  <c r="CW446" i="1"/>
  <c r="CW248" i="1"/>
  <c r="CW177" i="1"/>
  <c r="CT257" i="1"/>
  <c r="CS462" i="1"/>
  <c r="CU449" i="1"/>
  <c r="CS257" i="1"/>
  <c r="CS104" i="1"/>
  <c r="CU104" i="1" s="1"/>
  <c r="CW73" i="1"/>
  <c r="CS268" i="1"/>
  <c r="CT268" i="1" s="1"/>
  <c r="CW300" i="1"/>
  <c r="CW23" i="1"/>
  <c r="CS388" i="1"/>
  <c r="CU388" i="1" s="1"/>
  <c r="CW22" i="1"/>
  <c r="CW328" i="1"/>
  <c r="CW296" i="1"/>
  <c r="CW118" i="1"/>
  <c r="CW435" i="1"/>
  <c r="CW124" i="1"/>
  <c r="CW170" i="1"/>
  <c r="CW375" i="1"/>
  <c r="CU450" i="1"/>
  <c r="CW333" i="1"/>
  <c r="CW396" i="1"/>
  <c r="CS235" i="1"/>
  <c r="CT235" i="1" s="1"/>
  <c r="CW159" i="1"/>
  <c r="CW253" i="1"/>
  <c r="CW264" i="1"/>
  <c r="CS270" i="1"/>
  <c r="CU270" i="1" s="1"/>
  <c r="CS47" i="1"/>
  <c r="CU47" i="1" s="1"/>
  <c r="CS450" i="1"/>
  <c r="CW132" i="1"/>
  <c r="CU252" i="1"/>
  <c r="CS259" i="1"/>
  <c r="CU259" i="1" s="1"/>
  <c r="CS19" i="1"/>
  <c r="CT19" i="1" s="1"/>
  <c r="CT450" i="1"/>
  <c r="CW356" i="1"/>
  <c r="CW240" i="1"/>
  <c r="CT461" i="1"/>
  <c r="CS273" i="1"/>
  <c r="CT273" i="1" s="1"/>
  <c r="CS11" i="1"/>
  <c r="CT11" i="1" s="1"/>
  <c r="CS72" i="1"/>
  <c r="CT72" i="1" s="1"/>
  <c r="CS78" i="1"/>
  <c r="CT78" i="1" s="1"/>
  <c r="CS171" i="1"/>
  <c r="CT171" i="1" s="1"/>
  <c r="CW110" i="1"/>
  <c r="CW397" i="1"/>
  <c r="CU461" i="1"/>
  <c r="CW407" i="1"/>
  <c r="CW367" i="1"/>
  <c r="CW232" i="1"/>
  <c r="CW256" i="1"/>
  <c r="CS45" i="1"/>
  <c r="CU45" i="1" s="1"/>
  <c r="CW167" i="1"/>
  <c r="CT110" i="1"/>
  <c r="CW334" i="1"/>
  <c r="CS461" i="1"/>
  <c r="CW121" i="1"/>
  <c r="CW387" i="1"/>
  <c r="CW42" i="1"/>
  <c r="CW55" i="1"/>
  <c r="CW16" i="1"/>
  <c r="CW60" i="1"/>
  <c r="CW39" i="1"/>
  <c r="CS165" i="1"/>
  <c r="CU165" i="1" s="1"/>
  <c r="CW107" i="1"/>
  <c r="CW28" i="1"/>
  <c r="CS318" i="1"/>
  <c r="CU318" i="1" s="1"/>
  <c r="CW215" i="1"/>
  <c r="CW288" i="1"/>
  <c r="CS236" i="1"/>
  <c r="CU236" i="1" s="1"/>
  <c r="CW450" i="1"/>
  <c r="CS266" i="1"/>
  <c r="CT266" i="1" s="1"/>
  <c r="CS449" i="1"/>
  <c r="CW274" i="1"/>
  <c r="CS271" i="1"/>
  <c r="CT271" i="1" s="1"/>
  <c r="CU446" i="1"/>
  <c r="CS125" i="1"/>
  <c r="CT125" i="1" s="1"/>
  <c r="CW382" i="1"/>
  <c r="CT446" i="1"/>
  <c r="CW417" i="1"/>
  <c r="CW216" i="1"/>
  <c r="CW238" i="1"/>
  <c r="CS285" i="1"/>
  <c r="CU285" i="1" s="1"/>
  <c r="CS446" i="1"/>
  <c r="CW108" i="1"/>
  <c r="CS131" i="1"/>
  <c r="CT131" i="1" s="1"/>
  <c r="CS279" i="1"/>
  <c r="CT279" i="1" s="1"/>
  <c r="CW106" i="1"/>
  <c r="CS297" i="1"/>
  <c r="CT297" i="1" s="1"/>
  <c r="CW113" i="1"/>
  <c r="CW189" i="1"/>
  <c r="CS302" i="1"/>
  <c r="CU302" i="1" s="1"/>
  <c r="CW404" i="1"/>
  <c r="CS123" i="1"/>
  <c r="CU123" i="1" s="1"/>
  <c r="CU451" i="1"/>
  <c r="CW389" i="1"/>
  <c r="CW448" i="1"/>
  <c r="CS110" i="1"/>
  <c r="CT448" i="1"/>
  <c r="CT252" i="1"/>
  <c r="CW455" i="1"/>
  <c r="CW188" i="1"/>
  <c r="CW410" i="1"/>
  <c r="CW208" i="1"/>
  <c r="CU110" i="1"/>
  <c r="CW172" i="1"/>
  <c r="CW145" i="1"/>
  <c r="CS252" i="1"/>
  <c r="CS192" i="1"/>
  <c r="CU192" i="1" s="1"/>
  <c r="CS455" i="1"/>
  <c r="CW218" i="1"/>
  <c r="CS421" i="1"/>
  <c r="CT421" i="1" s="1"/>
  <c r="CS424" i="1"/>
  <c r="CT424" i="1" s="1"/>
  <c r="CU455" i="1"/>
  <c r="CW364" i="1"/>
  <c r="CW99" i="1"/>
  <c r="CW442" i="1"/>
  <c r="CW307" i="1"/>
  <c r="CW224" i="1"/>
  <c r="CW63" i="1"/>
  <c r="CT455" i="1"/>
  <c r="CS94" i="1"/>
  <c r="CT94" i="1" s="1"/>
  <c r="CS401" i="1"/>
  <c r="CU401" i="1" s="1"/>
  <c r="CS62" i="1"/>
  <c r="CT62" i="1" s="1"/>
  <c r="CS182" i="1"/>
  <c r="CU182" i="1" s="1"/>
  <c r="CW35" i="1"/>
  <c r="CS305" i="1"/>
  <c r="CT305" i="1" s="1"/>
  <c r="CW204" i="1"/>
  <c r="CS448" i="1"/>
  <c r="CW304" i="1"/>
  <c r="CW133" i="1"/>
  <c r="CS24" i="1"/>
  <c r="CU24" i="1" s="1"/>
  <c r="CW246" i="1"/>
  <c r="CW20" i="1"/>
  <c r="CU458" i="1"/>
  <c r="CU448" i="1"/>
  <c r="CS430" i="1"/>
  <c r="CU430" i="1" s="1"/>
  <c r="CW347" i="1"/>
  <c r="CW303" i="1"/>
  <c r="CW81" i="1"/>
  <c r="CW156" i="1"/>
  <c r="CW166" i="1"/>
  <c r="CW451" i="1"/>
  <c r="CT112" i="1"/>
  <c r="CW379" i="1"/>
  <c r="CW95" i="1"/>
  <c r="CW169" i="1"/>
  <c r="CW337" i="1"/>
  <c r="CW13" i="1"/>
  <c r="CW449" i="1"/>
  <c r="CW283" i="1"/>
  <c r="CW239" i="1"/>
  <c r="CW433" i="1"/>
  <c r="CT451" i="1"/>
  <c r="CW431" i="1"/>
  <c r="CW70" i="1"/>
  <c r="CW438" i="1"/>
  <c r="CT449" i="1"/>
  <c r="CS451" i="1"/>
  <c r="CS141" i="1"/>
  <c r="CT141" i="1" s="1"/>
  <c r="CS360" i="1"/>
  <c r="CT360" i="1" s="1"/>
  <c r="CW77" i="1"/>
  <c r="CW220" i="1"/>
  <c r="CW312" i="1"/>
  <c r="CS187" i="1"/>
  <c r="CU187" i="1" s="1"/>
  <c r="CS21" i="1"/>
  <c r="CT21" i="1" s="1"/>
  <c r="CW25" i="1"/>
  <c r="CW399" i="1"/>
  <c r="CW86" i="1"/>
  <c r="CW336" i="1"/>
  <c r="CW350" i="1"/>
  <c r="CV326" i="1"/>
  <c r="CV234" i="1"/>
  <c r="CW114" i="1"/>
  <c r="CW50" i="1"/>
  <c r="CS84" i="1"/>
  <c r="CT84" i="1" s="1"/>
  <c r="CS214" i="1"/>
  <c r="CU214" i="1" s="1"/>
  <c r="CW458" i="1"/>
  <c r="CW112" i="1"/>
  <c r="CW37" i="1"/>
  <c r="CS41" i="1"/>
  <c r="CT41" i="1" s="1"/>
  <c r="CS361" i="1"/>
  <c r="CT361" i="1" s="1"/>
  <c r="CV197" i="1"/>
  <c r="CW411" i="1"/>
  <c r="CU460" i="1"/>
  <c r="CW174" i="1"/>
  <c r="CW295" i="1"/>
  <c r="CS394" i="1"/>
  <c r="CU394" i="1" s="1"/>
  <c r="CS100" i="1"/>
  <c r="CT100" i="1" s="1"/>
  <c r="CS298" i="1"/>
  <c r="CT298" i="1" s="1"/>
  <c r="CS3" i="1"/>
  <c r="CT3" i="1" s="1"/>
  <c r="CS195" i="1"/>
  <c r="CT195" i="1" s="1"/>
  <c r="CT460" i="1"/>
  <c r="CW198" i="1"/>
  <c r="CT458" i="1"/>
  <c r="CS44" i="1"/>
  <c r="CT44" i="1" s="1"/>
  <c r="CS112" i="1"/>
  <c r="CW206" i="1"/>
  <c r="CW178" i="1"/>
  <c r="CW299" i="1"/>
  <c r="CW384" i="1"/>
  <c r="CW301" i="1"/>
  <c r="CW385" i="1"/>
  <c r="CV406" i="1"/>
  <c r="CW111" i="1"/>
  <c r="CW445" i="1"/>
  <c r="CW143" i="1"/>
  <c r="CW368" i="1"/>
  <c r="CW443" i="1"/>
  <c r="CS85" i="1"/>
  <c r="CU85" i="1" s="1"/>
  <c r="CW163" i="1"/>
  <c r="CS434" i="1"/>
  <c r="CU434" i="1" s="1"/>
  <c r="CW289" i="1"/>
  <c r="CS203" i="1"/>
  <c r="CU203" i="1" s="1"/>
  <c r="CS432" i="1"/>
  <c r="CU432" i="1" s="1"/>
  <c r="CW164" i="1"/>
  <c r="CS152" i="1"/>
  <c r="CT152" i="1" s="1"/>
  <c r="CW230" i="1"/>
  <c r="CS68" i="1"/>
  <c r="CT68" i="1" s="1"/>
  <c r="CU457" i="1"/>
  <c r="CS359" i="1"/>
  <c r="CU359" i="1" s="1"/>
  <c r="CS244" i="1"/>
  <c r="CU244" i="1" s="1"/>
  <c r="CW460" i="1"/>
  <c r="CS372" i="1"/>
  <c r="CU372" i="1" s="1"/>
  <c r="CW322" i="1"/>
  <c r="CW223" i="1"/>
  <c r="CW161" i="1"/>
  <c r="CW308" i="1"/>
  <c r="CW329" i="1"/>
  <c r="CW231" i="1"/>
  <c r="CW18" i="1"/>
  <c r="CS162" i="1"/>
  <c r="CT162" i="1" s="1"/>
  <c r="CW27" i="1"/>
  <c r="CS419" i="1"/>
  <c r="CT419" i="1" s="1"/>
  <c r="CW226" i="1"/>
  <c r="CW344" i="1"/>
  <c r="CW294" i="1"/>
  <c r="CW32" i="1"/>
  <c r="CW146" i="1"/>
  <c r="CS458" i="1"/>
  <c r="CU112" i="1"/>
  <c r="CW194" i="1"/>
  <c r="CW258" i="1"/>
  <c r="CS460" i="1"/>
  <c r="CW351" i="1"/>
  <c r="CW383" i="1"/>
  <c r="CS457" i="1"/>
  <c r="CW269" i="1"/>
  <c r="CW457" i="1"/>
  <c r="CW193" i="1"/>
  <c r="CW276" i="1"/>
  <c r="CW341" i="1"/>
  <c r="CW429" i="1"/>
  <c r="CS207" i="1"/>
  <c r="CT207" i="1" s="1"/>
  <c r="CT457" i="1"/>
  <c r="CV321" i="1"/>
  <c r="CV134" i="1"/>
  <c r="CV247" i="1"/>
  <c r="CV370" i="1"/>
  <c r="CV222" i="1"/>
  <c r="CV120" i="1"/>
  <c r="CV205" i="1"/>
  <c r="CV147" i="1"/>
  <c r="CV9" i="1"/>
  <c r="CV320" i="1"/>
  <c r="CV6" i="1"/>
  <c r="CT118" i="1"/>
  <c r="CT245" i="1"/>
  <c r="CT240" i="1"/>
  <c r="CT307" i="1"/>
  <c r="CU229" i="1"/>
  <c r="CU186" i="1"/>
  <c r="CU248" i="1"/>
  <c r="CU412" i="1"/>
  <c r="CT377" i="1"/>
  <c r="CT103" i="1"/>
  <c r="CT51" i="1"/>
  <c r="CU368" i="1"/>
  <c r="CU177" i="1"/>
  <c r="CU148" i="1"/>
  <c r="CT226" i="1"/>
  <c r="CT138" i="1"/>
  <c r="CU344" i="1"/>
  <c r="CT13" i="1"/>
  <c r="CT87" i="1"/>
  <c r="CT426" i="1"/>
  <c r="CU443" i="1"/>
  <c r="CT115" i="1"/>
  <c r="CT353" i="1"/>
  <c r="CT92" i="1"/>
  <c r="CT191" i="1"/>
  <c r="CT389" i="1"/>
  <c r="CT396" i="1"/>
  <c r="CT398" i="1"/>
  <c r="CU160" i="1"/>
  <c r="CT404" i="1"/>
  <c r="CT364" i="1"/>
  <c r="CT441" i="1"/>
  <c r="CT378" i="1"/>
  <c r="CU223" i="1"/>
  <c r="CT242" i="1"/>
  <c r="CT63" i="1"/>
  <c r="CT274" i="1"/>
  <c r="CT211" i="1"/>
  <c r="CT98" i="1"/>
  <c r="CT188" i="1"/>
  <c r="CT149" i="1"/>
  <c r="CU306" i="1"/>
  <c r="CT57" i="1"/>
  <c r="CU376" i="1"/>
  <c r="CT217" i="1"/>
  <c r="CT281" i="1"/>
  <c r="CU431" i="1"/>
  <c r="CU25" i="1"/>
  <c r="CT70" i="1"/>
  <c r="CT105" i="1"/>
  <c r="CT218" i="1"/>
  <c r="CT246" i="1"/>
  <c r="CT438" i="1"/>
  <c r="CT73" i="1"/>
  <c r="CU204" i="1"/>
  <c r="CT167" i="1"/>
  <c r="CT216" i="1"/>
  <c r="CT210" i="1"/>
  <c r="CT319" i="1"/>
  <c r="CU379" i="1"/>
  <c r="CU215" i="1"/>
  <c r="CU95" i="1"/>
  <c r="CT173" i="1"/>
  <c r="CU27" i="1"/>
  <c r="CU347" i="1"/>
  <c r="CU303" i="1"/>
  <c r="CT169" i="1"/>
  <c r="CT208" i="1"/>
  <c r="CT269" i="1"/>
  <c r="CU119" i="1"/>
  <c r="CW76" i="1"/>
  <c r="CV185" i="1"/>
  <c r="CV366" i="1"/>
  <c r="CV40" i="1"/>
  <c r="CU442" i="1"/>
  <c r="CT280" i="1"/>
  <c r="CT296" i="1"/>
  <c r="CU136" i="1"/>
  <c r="CT56" i="1"/>
  <c r="CT151" i="1"/>
  <c r="CV15" i="1"/>
  <c r="CU111" i="1"/>
  <c r="CT69" i="1"/>
  <c r="CU300" i="1"/>
  <c r="CU276" i="1"/>
  <c r="CT337" i="1"/>
  <c r="CT429" i="1"/>
  <c r="CS76" i="1"/>
  <c r="CU76" i="1" s="1"/>
  <c r="CT179" i="1"/>
  <c r="CU292" i="1"/>
  <c r="CT172" i="1"/>
  <c r="CT402" i="1"/>
  <c r="CV135" i="1"/>
  <c r="CV46" i="1"/>
  <c r="CT17" i="1"/>
  <c r="CV17" i="1" s="1"/>
  <c r="CT121" i="1"/>
  <c r="CU170" i="1"/>
  <c r="CT367" i="1"/>
  <c r="CT16" i="1"/>
  <c r="CU102" i="1"/>
  <c r="CU60" i="1"/>
  <c r="CU289" i="1"/>
  <c r="CT64" i="1"/>
  <c r="CT374" i="1"/>
  <c r="CU206" i="1"/>
  <c r="CT308" i="1"/>
  <c r="CT178" i="1"/>
  <c r="CT384" i="1"/>
  <c r="CT381" i="1"/>
  <c r="CW330" i="1"/>
  <c r="CV5" i="1"/>
  <c r="CV418" i="1"/>
  <c r="CV386" i="1"/>
  <c r="CT18" i="1"/>
  <c r="CV18" i="1" s="1"/>
  <c r="CT95" i="1"/>
  <c r="CU37" i="1"/>
  <c r="CT238" i="1"/>
  <c r="CT180" i="1"/>
  <c r="CT117" i="1"/>
  <c r="CU117" i="1"/>
  <c r="CU313" i="1"/>
  <c r="CU79" i="1"/>
  <c r="CT407" i="1"/>
  <c r="CU369" i="1"/>
  <c r="CU261" i="1"/>
  <c r="CT416" i="1"/>
  <c r="CU42" i="1"/>
  <c r="CU61" i="1"/>
  <c r="CT198" i="1"/>
  <c r="CU256" i="1"/>
  <c r="CU39" i="1"/>
  <c r="CT52" i="1"/>
  <c r="CT156" i="1"/>
  <c r="CT31" i="1"/>
  <c r="CT428" i="1"/>
  <c r="CU350" i="1"/>
  <c r="CT301" i="1"/>
  <c r="CU293" i="1"/>
  <c r="CT264" i="1"/>
  <c r="CU124" i="1"/>
  <c r="CT265" i="1"/>
  <c r="CT122" i="1"/>
  <c r="CU348" i="1"/>
  <c r="CT417" i="1"/>
  <c r="CT53" i="1"/>
  <c r="CU53" i="1"/>
  <c r="CT26" i="1"/>
  <c r="CT4" i="1"/>
  <c r="CT164" i="1"/>
  <c r="CT108" i="1"/>
  <c r="CU50" i="1"/>
  <c r="CT329" i="1"/>
  <c r="CU310" i="1"/>
  <c r="CT299" i="1"/>
  <c r="CU258" i="1"/>
  <c r="CU231" i="1"/>
  <c r="CT338" i="1"/>
  <c r="CT202" i="1"/>
  <c r="CU334" i="1"/>
  <c r="CT154" i="1"/>
  <c r="CU435" i="1"/>
  <c r="CT7" i="1"/>
  <c r="CU445" i="1"/>
  <c r="CT445" i="1"/>
  <c r="CT193" i="1"/>
  <c r="CU174" i="1"/>
  <c r="CT391" i="1"/>
  <c r="CT213" i="1"/>
  <c r="CT294" i="1"/>
  <c r="CT23" i="1"/>
  <c r="CT411" i="1"/>
  <c r="CU427" i="1"/>
  <c r="CU35" i="1"/>
  <c r="CU440" i="1"/>
  <c r="CT137" i="1"/>
  <c r="CU90" i="1"/>
  <c r="CT159" i="1"/>
  <c r="CT243" i="1"/>
  <c r="CT385" i="1"/>
  <c r="CU260" i="1"/>
  <c r="CS330" i="1"/>
  <c r="CU330" i="1" s="1"/>
  <c r="CU107" i="1"/>
  <c r="CV107" i="1" s="1"/>
  <c r="CU374" i="1"/>
  <c r="CT313" i="1"/>
  <c r="CT317" i="1"/>
  <c r="CV317" i="1" s="1"/>
  <c r="CT189" i="1"/>
  <c r="CV189" i="1" s="1"/>
  <c r="CU211" i="1"/>
  <c r="CU193" i="1"/>
  <c r="CT148" i="1"/>
  <c r="CT341" i="1"/>
  <c r="CV341" i="1" s="1"/>
  <c r="CT292" i="1"/>
  <c r="CT442" i="1"/>
  <c r="CT443" i="1"/>
  <c r="CU4" i="1"/>
  <c r="CU281" i="1"/>
  <c r="CU108" i="1"/>
  <c r="CU70" i="1"/>
  <c r="CT50" i="1"/>
  <c r="CU167" i="1"/>
  <c r="CT174" i="1"/>
  <c r="CT382" i="1"/>
  <c r="CV382" i="1" s="1"/>
  <c r="CT102" i="1"/>
  <c r="CU198" i="1"/>
  <c r="CU64" i="1"/>
  <c r="CU217" i="1"/>
  <c r="CT334" i="1"/>
  <c r="CU416" i="1"/>
  <c r="CT223" i="1"/>
  <c r="CT306" i="1"/>
  <c r="CT37" i="1"/>
  <c r="CT177" i="1"/>
  <c r="CU138" i="1"/>
  <c r="CT163" i="1"/>
  <c r="CV163" i="1" s="1"/>
  <c r="CT437" i="1"/>
  <c r="CV437" i="1" s="1"/>
  <c r="CT79" i="1"/>
  <c r="CU122" i="1"/>
  <c r="CU51" i="1"/>
  <c r="CT276" i="1"/>
  <c r="CU106" i="1"/>
  <c r="CV106" i="1" s="1"/>
  <c r="CU381" i="1"/>
  <c r="CU441" i="1"/>
  <c r="CT61" i="1"/>
  <c r="CU240" i="1"/>
  <c r="CU307" i="1"/>
  <c r="CU52" i="1"/>
  <c r="CU420" i="1"/>
  <c r="CV420" i="1" s="1"/>
  <c r="CU242" i="1"/>
  <c r="CU63" i="1"/>
  <c r="CU358" i="1"/>
  <c r="CT215" i="1"/>
  <c r="CU238" i="1"/>
  <c r="CU180" i="1"/>
  <c r="CU226" i="1"/>
  <c r="CU13" i="1"/>
  <c r="CU398" i="1"/>
  <c r="CU121" i="1"/>
  <c r="CT336" i="1"/>
  <c r="CV336" i="1" s="1"/>
  <c r="CT39" i="1"/>
  <c r="CU151" i="1"/>
  <c r="CT375" i="1"/>
  <c r="CV375" i="1" s="1"/>
  <c r="CT231" i="1"/>
  <c r="CT27" i="1"/>
  <c r="CT293" i="1"/>
  <c r="CT119" i="1"/>
  <c r="CU337" i="1"/>
  <c r="CU213" i="1"/>
  <c r="CT267" i="1"/>
  <c r="CU267" i="1"/>
  <c r="CT410" i="1"/>
  <c r="CU410" i="1"/>
  <c r="CU28" i="1"/>
  <c r="CT28" i="1"/>
  <c r="CT150" i="1"/>
  <c r="CU150" i="1"/>
  <c r="CU387" i="1"/>
  <c r="CT387" i="1"/>
  <c r="CU99" i="1"/>
  <c r="CT99" i="1"/>
  <c r="CU399" i="1"/>
  <c r="CT399" i="1"/>
  <c r="CT328" i="1"/>
  <c r="CU328" i="1"/>
  <c r="CT158" i="1"/>
  <c r="CU158" i="1"/>
  <c r="CT113" i="1"/>
  <c r="CU113" i="1"/>
  <c r="CT309" i="1"/>
  <c r="CU309" i="1"/>
  <c r="CU232" i="1"/>
  <c r="CT232" i="1"/>
  <c r="CT425" i="1"/>
  <c r="CU425" i="1"/>
  <c r="CT212" i="1"/>
  <c r="CU212" i="1"/>
  <c r="CT295" i="1"/>
  <c r="CU295" i="1"/>
  <c r="CT316" i="1"/>
  <c r="CU316" i="1"/>
  <c r="CT133" i="1"/>
  <c r="CU133" i="1"/>
  <c r="CT220" i="1"/>
  <c r="CU220" i="1"/>
  <c r="CT354" i="1"/>
  <c r="CU354" i="1"/>
  <c r="CT34" i="1"/>
  <c r="CU34" i="1"/>
  <c r="CU20" i="1"/>
  <c r="CT20" i="1"/>
  <c r="CT81" i="1"/>
  <c r="CU81" i="1"/>
  <c r="CU190" i="1"/>
  <c r="CT190" i="1"/>
  <c r="CU30" i="1"/>
  <c r="CT30" i="1"/>
  <c r="CU286" i="1"/>
  <c r="CT286" i="1"/>
  <c r="CT253" i="1"/>
  <c r="CU253" i="1"/>
  <c r="CT283" i="1"/>
  <c r="CU283" i="1"/>
  <c r="CT415" i="1"/>
  <c r="CU415" i="1"/>
  <c r="CU351" i="1"/>
  <c r="CT351" i="1"/>
  <c r="CT55" i="1"/>
  <c r="CU55" i="1"/>
  <c r="CT345" i="1"/>
  <c r="CU345" i="1"/>
  <c r="CT342" i="1"/>
  <c r="CU342" i="1"/>
  <c r="CT322" i="1"/>
  <c r="CU322" i="1"/>
  <c r="CT161" i="1"/>
  <c r="CU161" i="1"/>
  <c r="CU263" i="1"/>
  <c r="CT263" i="1"/>
  <c r="CU407" i="1"/>
  <c r="CT248" i="1"/>
  <c r="CT347" i="1"/>
  <c r="CU69" i="1"/>
  <c r="CU426" i="1"/>
  <c r="CU389" i="1"/>
  <c r="CU132" i="1"/>
  <c r="CV132" i="1" s="1"/>
  <c r="CU137" i="1"/>
  <c r="CU280" i="1"/>
  <c r="CU159" i="1"/>
  <c r="CU128" i="1"/>
  <c r="CV128" i="1" s="1"/>
  <c r="CU154" i="1"/>
  <c r="CU383" i="1"/>
  <c r="CV383" i="1" s="1"/>
  <c r="CS10" i="1"/>
  <c r="CU10" i="1" s="1"/>
  <c r="CW10" i="1"/>
  <c r="CU175" i="1"/>
  <c r="CU356" i="1"/>
  <c r="CU67" i="1"/>
  <c r="CU363" i="1"/>
  <c r="CU143" i="1"/>
  <c r="CT175" i="1"/>
  <c r="CU48" i="1"/>
  <c r="CT363" i="1"/>
  <c r="CU155" i="1"/>
  <c r="CV155" i="1" s="1"/>
  <c r="CU98" i="1"/>
  <c r="CT348" i="1"/>
  <c r="CU188" i="1"/>
  <c r="CU417" i="1"/>
  <c r="CU26" i="1"/>
  <c r="CU57" i="1"/>
  <c r="CU164" i="1"/>
  <c r="CT431" i="1"/>
  <c r="CT206" i="1"/>
  <c r="CU105" i="1"/>
  <c r="CU194" i="1"/>
  <c r="CV194" i="1" s="1"/>
  <c r="CU218" i="1"/>
  <c r="CU246" i="1"/>
  <c r="CU308" i="1"/>
  <c r="CU329" i="1"/>
  <c r="CU438" i="1"/>
  <c r="CU319" i="1"/>
  <c r="CT258" i="1"/>
  <c r="CU384" i="1"/>
  <c r="CU269" i="1"/>
  <c r="CU168" i="1"/>
  <c r="CV168" i="1" s="1"/>
  <c r="CT111" i="1"/>
  <c r="CU103" i="1"/>
  <c r="CT143" i="1"/>
  <c r="CT199" i="1"/>
  <c r="CV199" i="1" s="1"/>
  <c r="CT300" i="1"/>
  <c r="CT368" i="1"/>
  <c r="CU411" i="1"/>
  <c r="CT35" i="1"/>
  <c r="CU172" i="1"/>
  <c r="CU92" i="1"/>
  <c r="CU402" i="1"/>
  <c r="CT288" i="1"/>
  <c r="CV288" i="1" s="1"/>
  <c r="CT90" i="1"/>
  <c r="CT160" i="1"/>
  <c r="CT260" i="1"/>
  <c r="C14" i="3"/>
  <c r="CS311" i="1"/>
  <c r="CT311" i="1" s="1"/>
  <c r="CW311" i="1"/>
  <c r="CT126" i="1"/>
  <c r="CU22" i="1"/>
  <c r="CV22" i="1" s="1"/>
  <c r="CU156" i="1"/>
  <c r="CU335" i="1"/>
  <c r="CV335" i="1" s="1"/>
  <c r="CU31" i="1"/>
  <c r="CU296" i="1"/>
  <c r="CU243" i="1"/>
  <c r="CT356" i="1"/>
  <c r="CT254" i="1"/>
  <c r="CU414" i="1"/>
  <c r="CV414" i="1" s="1"/>
  <c r="CT136" i="1"/>
  <c r="CU118" i="1"/>
  <c r="CU338" i="1"/>
  <c r="CT304" i="1"/>
  <c r="CV304" i="1" s="1"/>
  <c r="CU202" i="1"/>
  <c r="CT229" i="1"/>
  <c r="CT435" i="1"/>
  <c r="CT145" i="1"/>
  <c r="CV145" i="1" s="1"/>
  <c r="CT186" i="1"/>
  <c r="CT130" i="1"/>
  <c r="CV130" i="1" s="1"/>
  <c r="CT124" i="1"/>
  <c r="CU224" i="1"/>
  <c r="CV224" i="1" s="1"/>
  <c r="CU239" i="1"/>
  <c r="CV239" i="1" s="1"/>
  <c r="CU378" i="1"/>
  <c r="CT170" i="1"/>
  <c r="CT369" i="1"/>
  <c r="CU433" i="1"/>
  <c r="CV433" i="1" s="1"/>
  <c r="CT261" i="1"/>
  <c r="CU77" i="1"/>
  <c r="CV77" i="1" s="1"/>
  <c r="CU367" i="1"/>
  <c r="CU43" i="1"/>
  <c r="CV43" i="1" s="1"/>
  <c r="CT67" i="1"/>
  <c r="CU277" i="1"/>
  <c r="CV277" i="1" s="1"/>
  <c r="CU16" i="1"/>
  <c r="CT256" i="1"/>
  <c r="CT60" i="1"/>
  <c r="CT312" i="1"/>
  <c r="CV312" i="1" s="1"/>
  <c r="CU114" i="1"/>
  <c r="CV114" i="1" s="1"/>
  <c r="CU274" i="1"/>
  <c r="CU265" i="1"/>
  <c r="CT109" i="1"/>
  <c r="CV109" i="1" s="1"/>
  <c r="CU149" i="1"/>
  <c r="CU428" i="1"/>
  <c r="CT376" i="1"/>
  <c r="CT25" i="1"/>
  <c r="CU178" i="1"/>
  <c r="CT310" i="1"/>
  <c r="CU73" i="1"/>
  <c r="CT230" i="1"/>
  <c r="CV230" i="1" s="1"/>
  <c r="CT204" i="1"/>
  <c r="CU299" i="1"/>
  <c r="CU216" i="1"/>
  <c r="CT379" i="1"/>
  <c r="CT350" i="1"/>
  <c r="CT303" i="1"/>
  <c r="CU169" i="1"/>
  <c r="CT333" i="1"/>
  <c r="CV333" i="1" s="1"/>
  <c r="CU140" i="1"/>
  <c r="CV140" i="1" s="1"/>
  <c r="CT344" i="1"/>
  <c r="CU87" i="1"/>
  <c r="CU294" i="1"/>
  <c r="CU146" i="1"/>
  <c r="CV146" i="1" s="1"/>
  <c r="CU115" i="1"/>
  <c r="CT440" i="1"/>
  <c r="CU191" i="1"/>
  <c r="CU396" i="1"/>
  <c r="CU404" i="1"/>
  <c r="CU254" i="1"/>
  <c r="C15" i="3"/>
  <c r="CU126" i="1"/>
  <c r="CU166" i="1"/>
  <c r="CV166" i="1" s="1"/>
  <c r="CS403" i="1"/>
  <c r="CU403" i="1" s="1"/>
  <c r="CW403" i="1"/>
  <c r="CU86" i="1"/>
  <c r="CV86" i="1" s="1"/>
  <c r="CU7" i="1"/>
  <c r="CU264" i="1"/>
  <c r="CU397" i="1"/>
  <c r="CV397" i="1" s="1"/>
  <c r="CU56" i="1"/>
  <c r="CT42" i="1"/>
  <c r="CT48" i="1"/>
  <c r="CT289" i="1"/>
  <c r="CU393" i="1"/>
  <c r="CV393" i="1" s="1"/>
  <c r="CU173" i="1"/>
  <c r="CU208" i="1"/>
  <c r="CU301" i="1"/>
  <c r="CU385" i="1"/>
  <c r="CU391" i="1"/>
  <c r="CU23" i="1"/>
  <c r="CU429" i="1"/>
  <c r="CT427" i="1"/>
  <c r="CU179" i="1"/>
  <c r="CU364" i="1"/>
  <c r="CT8" i="1" l="1"/>
  <c r="CV8" i="1" s="1"/>
  <c r="CT127" i="1"/>
  <c r="CV127" i="1" s="1"/>
  <c r="CU176" i="1"/>
  <c r="CV176" i="1" s="1"/>
  <c r="CT219" i="1"/>
  <c r="CV219" i="1" s="1"/>
  <c r="CU331" i="1"/>
  <c r="CV331" i="1" s="1"/>
  <c r="CU439" i="1"/>
  <c r="CV439" i="1" s="1"/>
  <c r="CU422" i="1"/>
  <c r="CV422" i="1" s="1"/>
  <c r="CU49" i="1"/>
  <c r="CV49" i="1" s="1"/>
  <c r="CT96" i="1"/>
  <c r="CV96" i="1" s="1"/>
  <c r="CT184" i="1"/>
  <c r="CV184" i="1" s="1"/>
  <c r="CT157" i="1"/>
  <c r="CV157" i="1" s="1"/>
  <c r="CU444" i="1"/>
  <c r="CV444" i="1" s="1"/>
  <c r="CU183" i="1"/>
  <c r="CV183" i="1" s="1"/>
  <c r="CU346" i="1"/>
  <c r="CV346" i="1" s="1"/>
  <c r="CT314" i="1"/>
  <c r="CV314" i="1" s="1"/>
  <c r="CU59" i="1"/>
  <c r="CV59" i="1" s="1"/>
  <c r="CT12" i="1"/>
  <c r="CV12" i="1" s="1"/>
  <c r="CU32" i="1"/>
  <c r="CV32" i="1" s="1"/>
  <c r="CT80" i="1"/>
  <c r="CV80" i="1" s="1"/>
  <c r="CT251" i="1"/>
  <c r="CV251" i="1" s="1"/>
  <c r="CU332" i="1"/>
  <c r="CV332" i="1" s="1"/>
  <c r="CT325" i="1"/>
  <c r="CV325" i="1" s="1"/>
  <c r="CT58" i="1"/>
  <c r="CV58" i="1" s="1"/>
  <c r="CU89" i="1"/>
  <c r="CV89" i="1" s="1"/>
  <c r="CU233" i="1"/>
  <c r="CV233" i="1" s="1"/>
  <c r="CU287" i="1"/>
  <c r="CV287" i="1" s="1"/>
  <c r="CT275" i="1"/>
  <c r="CV275" i="1" s="1"/>
  <c r="CT371" i="1"/>
  <c r="CV371" i="1" s="1"/>
  <c r="CT196" i="1"/>
  <c r="CV196" i="1" s="1"/>
  <c r="CT24" i="1"/>
  <c r="CV24" i="1" s="1"/>
  <c r="CU227" i="1"/>
  <c r="CV227" i="1" s="1"/>
  <c r="CU171" i="1"/>
  <c r="CV171" i="1" s="1"/>
  <c r="CU340" i="1"/>
  <c r="CV340" i="1" s="1"/>
  <c r="CT45" i="1"/>
  <c r="CV45" i="1" s="1"/>
  <c r="CU200" i="1"/>
  <c r="CV200" i="1" s="1"/>
  <c r="CU71" i="1"/>
  <c r="CV71" i="1" s="1"/>
  <c r="CT255" i="1"/>
  <c r="CV255" i="1" s="1"/>
  <c r="CU343" i="1"/>
  <c r="CV343" i="1" s="1"/>
  <c r="CU392" i="1"/>
  <c r="CV392" i="1" s="1"/>
  <c r="CT97" i="1"/>
  <c r="CV97" i="1" s="1"/>
  <c r="CU249" i="1"/>
  <c r="CV249" i="1" s="1"/>
  <c r="CT262" i="1"/>
  <c r="CV262" i="1" s="1"/>
  <c r="CT228" i="1"/>
  <c r="CV228" i="1" s="1"/>
  <c r="CU75" i="1"/>
  <c r="CV75" i="1" s="1"/>
  <c r="CT104" i="1"/>
  <c r="CV104" i="1" s="1"/>
  <c r="CT116" i="1"/>
  <c r="CV116" i="1" s="1"/>
  <c r="CU144" i="1"/>
  <c r="CV144" i="1" s="1"/>
  <c r="CT355" i="1"/>
  <c r="CV355" i="1" s="1"/>
  <c r="CU315" i="1"/>
  <c r="CV315" i="1" s="1"/>
  <c r="CU290" i="1"/>
  <c r="CV290" i="1" s="1"/>
  <c r="AG21" i="13"/>
  <c r="AE21" i="13"/>
  <c r="AD21" i="13"/>
  <c r="AF21" i="13"/>
  <c r="AC21" i="13"/>
  <c r="CT270" i="1"/>
  <c r="CV270" i="1" s="1"/>
  <c r="CT101" i="1"/>
  <c r="CV101" i="1" s="1"/>
  <c r="CT225" i="1"/>
  <c r="CV225" i="1" s="1"/>
  <c r="CU65" i="1"/>
  <c r="CV65" i="1" s="1"/>
  <c r="CU88" i="1"/>
  <c r="CV88" i="1" s="1"/>
  <c r="CT388" i="1"/>
  <c r="CV388" i="1" s="1"/>
  <c r="CT66" i="1"/>
  <c r="CV66" i="1" s="1"/>
  <c r="CU436" i="1"/>
  <c r="CV436" i="1" s="1"/>
  <c r="CU91" i="1"/>
  <c r="CV91" i="1" s="1"/>
  <c r="CU235" i="1"/>
  <c r="CV235" i="1" s="1"/>
  <c r="CU125" i="1"/>
  <c r="CV125" i="1" s="1"/>
  <c r="CU241" i="1"/>
  <c r="CV241" i="1" s="1"/>
  <c r="CU424" i="1"/>
  <c r="CV424" i="1" s="1"/>
  <c r="CU201" i="1"/>
  <c r="CV201" i="1" s="1"/>
  <c r="CU360" i="1"/>
  <c r="CV360" i="1" s="1"/>
  <c r="CT413" i="1"/>
  <c r="CV413" i="1" s="1"/>
  <c r="CT181" i="1"/>
  <c r="CV181" i="1" s="1"/>
  <c r="CU365" i="1"/>
  <c r="CV365" i="1" s="1"/>
  <c r="CT285" i="1"/>
  <c r="CV285" i="1" s="1"/>
  <c r="CU82" i="1"/>
  <c r="CV82" i="1" s="1"/>
  <c r="CT349" i="1"/>
  <c r="CV349" i="1" s="1"/>
  <c r="CT401" i="1"/>
  <c r="CV401" i="1" s="1"/>
  <c r="CU68" i="1"/>
  <c r="CV68" i="1" s="1"/>
  <c r="CU78" i="1"/>
  <c r="CV78" i="1" s="1"/>
  <c r="CT29" i="1"/>
  <c r="CV29" i="1" s="1"/>
  <c r="CV281" i="1"/>
  <c r="CT259" i="1"/>
  <c r="CV259" i="1" s="1"/>
  <c r="CU268" i="1"/>
  <c r="CV268" i="1" s="1"/>
  <c r="CU324" i="1"/>
  <c r="CV324" i="1" s="1"/>
  <c r="CU72" i="1"/>
  <c r="CV72" i="1" s="1"/>
  <c r="CU282" i="1"/>
  <c r="CV282" i="1" s="1"/>
  <c r="CT47" i="1"/>
  <c r="CV47" i="1" s="1"/>
  <c r="CT237" i="1"/>
  <c r="CV237" i="1" s="1"/>
  <c r="CU131" i="1"/>
  <c r="CV131" i="1" s="1"/>
  <c r="CT85" i="1"/>
  <c r="CV85" i="1" s="1"/>
  <c r="CU94" i="1"/>
  <c r="CV94" i="1" s="1"/>
  <c r="CU419" i="1"/>
  <c r="CV419" i="1" s="1"/>
  <c r="CT123" i="1"/>
  <c r="CV123" i="1" s="1"/>
  <c r="CU271" i="1"/>
  <c r="CV271" i="1" s="1"/>
  <c r="CT323" i="1"/>
  <c r="CV323" i="1" s="1"/>
  <c r="CU291" i="1"/>
  <c r="CV291" i="1" s="1"/>
  <c r="CT318" i="1"/>
  <c r="CV318" i="1" s="1"/>
  <c r="CU19" i="1"/>
  <c r="CV19" i="1" s="1"/>
  <c r="CU74" i="1"/>
  <c r="CV74" i="1" s="1"/>
  <c r="CT302" i="1"/>
  <c r="CV302" i="1" s="1"/>
  <c r="CU11" i="1"/>
  <c r="CV11" i="1" s="1"/>
  <c r="CT430" i="1"/>
  <c r="CV430" i="1" s="1"/>
  <c r="CU297" i="1"/>
  <c r="CV297" i="1" s="1"/>
  <c r="CT192" i="1"/>
  <c r="CV192" i="1" s="1"/>
  <c r="CU266" i="1"/>
  <c r="CV266" i="1" s="1"/>
  <c r="CU421" i="1"/>
  <c r="CV421" i="1" s="1"/>
  <c r="CU273" i="1"/>
  <c r="CV273" i="1" s="1"/>
  <c r="CT236" i="1"/>
  <c r="CV236" i="1" s="1"/>
  <c r="CT165" i="1"/>
  <c r="CV165" i="1" s="1"/>
  <c r="CU84" i="1"/>
  <c r="CV84" i="1" s="1"/>
  <c r="CU279" i="1"/>
  <c r="CV279" i="1" s="1"/>
  <c r="CU305" i="1"/>
  <c r="CV305" i="1" s="1"/>
  <c r="CT187" i="1"/>
  <c r="CV187" i="1" s="1"/>
  <c r="CT182" i="1"/>
  <c r="CV182" i="1" s="1"/>
  <c r="CT432" i="1"/>
  <c r="CV432" i="1" s="1"/>
  <c r="CV300" i="1"/>
  <c r="CU62" i="1"/>
  <c r="CV62" i="1" s="1"/>
  <c r="CU3" i="1"/>
  <c r="CV3" i="1" s="1"/>
  <c r="CU141" i="1"/>
  <c r="CV141" i="1" s="1"/>
  <c r="CU21" i="1"/>
  <c r="CV21" i="1" s="1"/>
  <c r="CT244" i="1"/>
  <c r="CV244" i="1" s="1"/>
  <c r="CU361" i="1"/>
  <c r="CV361" i="1" s="1"/>
  <c r="CU298" i="1"/>
  <c r="CV298" i="1" s="1"/>
  <c r="CT203" i="1"/>
  <c r="CV203" i="1" s="1"/>
  <c r="CV64" i="1"/>
  <c r="CT359" i="1"/>
  <c r="CV359" i="1" s="1"/>
  <c r="CU41" i="1"/>
  <c r="CV41" i="1" s="1"/>
  <c r="CT214" i="1"/>
  <c r="CV214" i="1" s="1"/>
  <c r="CV98" i="1"/>
  <c r="CV121" i="1"/>
  <c r="CV111" i="1"/>
  <c r="CU162" i="1"/>
  <c r="CV162" i="1" s="1"/>
  <c r="CV51" i="1"/>
  <c r="CV118" i="1"/>
  <c r="CV136" i="1"/>
  <c r="CV188" i="1"/>
  <c r="CV179" i="1"/>
  <c r="CV299" i="1"/>
  <c r="CV160" i="1"/>
  <c r="CV213" i="1"/>
  <c r="CU44" i="1"/>
  <c r="CV44" i="1" s="1"/>
  <c r="CV60" i="1"/>
  <c r="CU152" i="1"/>
  <c r="CV152" i="1" s="1"/>
  <c r="CT372" i="1"/>
  <c r="CV372" i="1" s="1"/>
  <c r="CV353" i="1"/>
  <c r="CV13" i="1"/>
  <c r="CV180" i="1"/>
  <c r="CU100" i="1"/>
  <c r="CV100" i="1" s="1"/>
  <c r="CV148" i="1"/>
  <c r="CV126" i="1"/>
  <c r="CT394" i="1"/>
  <c r="CV394" i="1" s="1"/>
  <c r="CV329" i="1"/>
  <c r="CU195" i="1"/>
  <c r="CV195" i="1" s="1"/>
  <c r="CT434" i="1"/>
  <c r="CV434" i="1" s="1"/>
  <c r="CV398" i="1"/>
  <c r="CV63" i="1"/>
  <c r="CV23" i="1"/>
  <c r="CV178" i="1"/>
  <c r="CV170" i="1"/>
  <c r="CV186" i="1"/>
  <c r="CV31" i="1"/>
  <c r="CV105" i="1"/>
  <c r="CV417" i="1"/>
  <c r="CU207" i="1"/>
  <c r="CV207" i="1" s="1"/>
  <c r="CV161" i="1"/>
  <c r="CV322" i="1"/>
  <c r="CV345" i="1"/>
  <c r="CV283" i="1"/>
  <c r="CV286" i="1"/>
  <c r="CV81" i="1"/>
  <c r="CV34" i="1"/>
  <c r="CV133" i="1"/>
  <c r="CV316" i="1"/>
  <c r="CV212" i="1"/>
  <c r="CV425" i="1"/>
  <c r="CV113" i="1"/>
  <c r="CV399" i="1"/>
  <c r="CV28" i="1"/>
  <c r="CV267" i="1"/>
  <c r="CV151" i="1"/>
  <c r="CV381" i="1"/>
  <c r="CV428" i="1"/>
  <c r="CV37" i="1"/>
  <c r="CV70" i="1"/>
  <c r="CV310" i="1"/>
  <c r="CV202" i="1"/>
  <c r="CV389" i="1"/>
  <c r="CV122" i="1"/>
  <c r="CV124" i="1"/>
  <c r="CV218" i="1"/>
  <c r="CV164" i="1"/>
  <c r="CV154" i="1"/>
  <c r="CV427" i="1"/>
  <c r="CV169" i="1"/>
  <c r="CV243" i="1"/>
  <c r="CV269" i="1"/>
  <c r="CV441" i="1"/>
  <c r="CV254" i="1"/>
  <c r="CV363" i="1"/>
  <c r="CV174" i="1"/>
  <c r="CV198" i="1"/>
  <c r="CV102" i="1"/>
  <c r="CV342" i="1"/>
  <c r="CV55" i="1"/>
  <c r="CV253" i="1"/>
  <c r="CV354" i="1"/>
  <c r="CV295" i="1"/>
  <c r="CV309" i="1"/>
  <c r="CV158" i="1"/>
  <c r="CV150" i="1"/>
  <c r="CV410" i="1"/>
  <c r="CV53" i="1"/>
  <c r="CV379" i="1"/>
  <c r="CV149" i="1"/>
  <c r="CV26" i="1"/>
  <c r="CV69" i="1"/>
  <c r="CV358" i="1"/>
  <c r="CV240" i="1"/>
  <c r="CV138" i="1"/>
  <c r="CV95" i="1"/>
  <c r="CV364" i="1"/>
  <c r="CV385" i="1"/>
  <c r="CV429" i="1"/>
  <c r="CV191" i="1"/>
  <c r="CV216" i="1"/>
  <c r="CV73" i="1"/>
  <c r="CV376" i="1"/>
  <c r="CV384" i="1"/>
  <c r="CV426" i="1"/>
  <c r="CV442" i="1"/>
  <c r="CV265" i="1"/>
  <c r="CV402" i="1"/>
  <c r="CV319" i="1"/>
  <c r="CV245" i="1"/>
  <c r="CV337" i="1"/>
  <c r="CV440" i="1"/>
  <c r="CV391" i="1"/>
  <c r="CV7" i="1"/>
  <c r="CV404" i="1"/>
  <c r="CV246" i="1"/>
  <c r="CV206" i="1"/>
  <c r="CV226" i="1"/>
  <c r="CV289" i="1"/>
  <c r="CV87" i="1"/>
  <c r="CV377" i="1"/>
  <c r="CV208" i="1"/>
  <c r="CV173" i="1"/>
  <c r="CV16" i="1"/>
  <c r="CV296" i="1"/>
  <c r="CV143" i="1"/>
  <c r="CV119" i="1"/>
  <c r="CV301" i="1"/>
  <c r="CV294" i="1"/>
  <c r="CV303" i="1"/>
  <c r="CV210" i="1"/>
  <c r="CV308" i="1"/>
  <c r="CV263" i="1"/>
  <c r="CV238" i="1"/>
  <c r="CV177" i="1"/>
  <c r="CV217" i="1"/>
  <c r="CV108" i="1"/>
  <c r="CV211" i="1"/>
  <c r="CV445" i="1"/>
  <c r="CV261" i="1"/>
  <c r="CV348" i="1"/>
  <c r="CV92" i="1"/>
  <c r="CV438" i="1"/>
  <c r="CV48" i="1"/>
  <c r="CV280" i="1"/>
  <c r="CV4" i="1"/>
  <c r="CV264" i="1"/>
  <c r="CV52" i="1"/>
  <c r="CV61" i="1"/>
  <c r="CV369" i="1"/>
  <c r="CV313" i="1"/>
  <c r="CV292" i="1"/>
  <c r="CV431" i="1"/>
  <c r="CV156" i="1"/>
  <c r="CV396" i="1"/>
  <c r="CT330" i="1"/>
  <c r="CV330" i="1" s="1"/>
  <c r="CV172" i="1"/>
  <c r="CV242" i="1"/>
  <c r="CV276" i="1"/>
  <c r="CV416" i="1"/>
  <c r="CV334" i="1"/>
  <c r="CV50" i="1"/>
  <c r="CV117" i="1"/>
  <c r="CV56" i="1"/>
  <c r="CV115" i="1"/>
  <c r="CV274" i="1"/>
  <c r="CV378" i="1"/>
  <c r="CV137" i="1"/>
  <c r="CV248" i="1"/>
  <c r="CV351" i="1"/>
  <c r="CV190" i="1"/>
  <c r="CV232" i="1"/>
  <c r="CV387" i="1"/>
  <c r="CV27" i="1"/>
  <c r="CV307" i="1"/>
  <c r="CV260" i="1"/>
  <c r="CV293" i="1"/>
  <c r="CV350" i="1"/>
  <c r="CV39" i="1"/>
  <c r="CV42" i="1"/>
  <c r="CV407" i="1"/>
  <c r="CV306" i="1"/>
  <c r="CV223" i="1"/>
  <c r="CV411" i="1"/>
  <c r="CV356" i="1"/>
  <c r="CV415" i="1"/>
  <c r="CV220" i="1"/>
  <c r="CV328" i="1"/>
  <c r="CV167" i="1"/>
  <c r="CV193" i="1"/>
  <c r="CV35" i="1"/>
  <c r="CV435" i="1"/>
  <c r="CV231" i="1"/>
  <c r="CV256" i="1"/>
  <c r="CV215" i="1"/>
  <c r="CV204" i="1"/>
  <c r="CV25" i="1"/>
  <c r="CV443" i="1"/>
  <c r="CV57" i="1"/>
  <c r="CV67" i="1"/>
  <c r="CV367" i="1"/>
  <c r="CV338" i="1"/>
  <c r="CV103" i="1"/>
  <c r="CV175" i="1"/>
  <c r="CV159" i="1"/>
  <c r="CV30" i="1"/>
  <c r="CV20" i="1"/>
  <c r="CV99" i="1"/>
  <c r="CV374" i="1"/>
  <c r="CV90" i="1"/>
  <c r="CV79" i="1"/>
  <c r="CV347" i="1"/>
  <c r="CV344" i="1"/>
  <c r="CV368" i="1"/>
  <c r="CV412" i="1"/>
  <c r="CV229" i="1"/>
  <c r="CV258" i="1"/>
  <c r="CT76" i="1"/>
  <c r="CV76" i="1" s="1"/>
  <c r="CT10" i="1"/>
  <c r="CV10" i="1" s="1"/>
  <c r="CT403" i="1"/>
  <c r="CV403" i="1" s="1"/>
  <c r="CU311" i="1"/>
  <c r="CV311" i="1" s="1"/>
  <c r="G31" i="3" l="1" a="1"/>
  <c r="G31" i="3" s="1"/>
  <c r="K31" i="3" a="1"/>
  <c r="K31" i="3" s="1"/>
  <c r="K32" i="3" a="1"/>
  <c r="K32" i="3" s="1"/>
  <c r="S32" i="3" a="1"/>
  <c r="S32" i="3" s="1"/>
  <c r="O32" i="3" a="1"/>
  <c r="O32" i="3" s="1"/>
  <c r="G32" i="3" a="1"/>
  <c r="G32" i="3" s="1"/>
  <c r="H32" i="3"/>
  <c r="P31" i="3"/>
  <c r="L32" i="3"/>
  <c r="L31" i="3"/>
  <c r="F31" i="3"/>
  <c r="P32" i="3"/>
  <c r="H31" i="3"/>
  <c r="T32" i="3"/>
  <c r="T31" i="3"/>
  <c r="O31" i="3" a="1"/>
  <c r="O31" i="3" s="1"/>
  <c r="S31" i="3" a="1"/>
  <c r="S31" i="3" s="1"/>
  <c r="AG22" i="13"/>
  <c r="AF22" i="13"/>
  <c r="AE22" i="13"/>
  <c r="AD22" i="13"/>
  <c r="AC22" i="13"/>
  <c r="U32" i="3"/>
  <c r="R31" i="3"/>
  <c r="C31" i="3"/>
  <c r="D31" i="3" s="1"/>
  <c r="J32" i="3"/>
  <c r="N31" i="3"/>
  <c r="N32" i="3"/>
  <c r="C32" i="3"/>
  <c r="D32" i="3" s="1"/>
  <c r="J31" i="3"/>
  <c r="Q32" i="3"/>
  <c r="Q31" i="3"/>
  <c r="I32" i="3"/>
  <c r="R32" i="3"/>
  <c r="F32" i="3"/>
  <c r="M32" i="3"/>
  <c r="U31" i="3"/>
  <c r="I31" i="3"/>
  <c r="M31" i="3"/>
  <c r="C20" i="3"/>
  <c r="D20" i="3" s="1"/>
  <c r="C17" i="3"/>
  <c r="D17" i="3" s="1"/>
  <c r="C18" i="3"/>
  <c r="D18" i="3" s="1"/>
  <c r="C21" i="3"/>
  <c r="D21" i="3" s="1"/>
  <c r="AF23" i="13" l="1"/>
  <c r="AE23" i="13"/>
  <c r="AG23" i="13"/>
  <c r="AC23" i="13"/>
  <c r="AD23" i="13"/>
  <c r="AF24" i="13" l="1"/>
  <c r="AE24" i="13"/>
  <c r="AG24" i="13"/>
  <c r="AC24" i="13"/>
  <c r="AD24" i="13"/>
  <c r="AG25" i="13" l="1"/>
  <c r="AE25" i="13"/>
  <c r="AD25" i="13"/>
  <c r="AC25" i="13"/>
  <c r="AF25" i="13"/>
  <c r="AG26" i="13" l="1"/>
  <c r="AF26" i="13"/>
  <c r="AD26" i="13"/>
  <c r="AE26" i="13"/>
  <c r="AC26" i="13"/>
  <c r="AF27" i="13" l="1"/>
  <c r="AG27" i="13"/>
  <c r="AE27" i="13"/>
  <c r="AC27" i="13"/>
  <c r="AD27" i="13"/>
  <c r="AF28" i="13" l="1"/>
  <c r="AE28" i="13"/>
  <c r="AC28" i="13"/>
  <c r="AG28" i="13"/>
  <c r="AD28" i="13"/>
  <c r="AC30" i="13" l="1"/>
  <c r="AT26" i="13" l="1"/>
  <c r="AQ26" i="13"/>
  <c r="AR26" i="13"/>
  <c r="AS26" i="13"/>
  <c r="AU26" i="13"/>
  <c r="BB26" i="13"/>
  <c r="AZ26" i="13"/>
  <c r="AY26" i="13"/>
  <c r="BA26" i="13"/>
  <c r="AX26" i="13"/>
  <c r="AG30" i="13"/>
  <c r="AE30" i="13"/>
  <c r="AD30" i="13"/>
  <c r="AF30" i="13"/>
  <c r="AN30" i="13" l="1"/>
  <c r="AL30" i="13"/>
  <c r="AM30" i="13"/>
  <c r="AK30" i="13"/>
  <c r="AJ30" i="1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BMeade</author>
    <author>tc={CAEDDC2B-6DA4-4472-9F0F-58AA37654607}</author>
    <author>tc={4A4970FA-DC7E-4ECA-8C4D-7E76791FEEDB}</author>
    <author>tc={73EBCB4E-1CC8-41A7-A0EF-1DFC0C990BB6}</author>
    <author>tc={877271F4-6C9E-49EB-9DF0-B25D9BF96DF1}</author>
    <author>tc={8B3E282C-F382-4AF2-8451-1EDA18714AEB}</author>
    <author>tc={7F50B19E-75C6-489F-B16B-4E52E5ADC0CF}</author>
    <author>tc={2BAD8AA3-231F-4032-ABDF-2942D18C661F}</author>
    <author>tc={C6DFFCA5-EF97-4324-B896-AC721E4247F1}</author>
    <author>tc={E11EDB77-E03D-4713-8629-2998CCACA5D0}</author>
    <author>tc={BAEAECCD-2FB1-4E9E-A6F1-D70ED926CA52}</author>
    <author>tc={25A04034-B0C5-4B4A-9FAB-F3A81B0F3104}</author>
    <author>tc={985DEDEF-8F6A-4125-B20B-17E77C0A6A47}</author>
    <author>tc={EF0B2042-161E-49A2-8E24-128294C53622}</author>
    <author>tc={1C4DE9E9-B11F-44AC-A55D-5F15D7B2B100}</author>
  </authors>
  <commentList>
    <comment ref="CX2" authorId="0" shapeId="0" xr:uid="{103323D2-24D3-4C1A-AECC-71C5DC0C74D2}">
      <text>
        <r>
          <rPr>
            <sz val="9"/>
            <color indexed="81"/>
            <rFont val="Tahoma"/>
            <family val="2"/>
          </rPr>
          <t xml:space="preserve"> (Company name, Primary Address, Primary City, with " " "." "," "-" removed)
</t>
        </r>
      </text>
    </comment>
    <comment ref="AM23" authorId="1" shapeId="0" xr:uid="{CAEDDC2B-6DA4-4472-9F0F-58AA37654607}">
      <text>
        <t>[Threaded comment]
Your version of Excel allows you to read this threaded comment; however, any edits to it will get removed if the file is opened in a newer version of Excel. Learn more: https://go.microsoft.com/fwlink/?linkid=870924
Comment:
    Owned by Conoco Phillips</t>
      </text>
    </comment>
    <comment ref="CL32" authorId="2" shapeId="0" xr:uid="{4A4970FA-DC7E-4ECA-8C4D-7E76791FEEDB}">
      <text>
        <t>[Threaded comment]
Your version of Excel allows you to read this threaded comment; however, any edits to it will get removed if the file is opened in a newer version of Excel. Learn more: https://go.microsoft.com/fwlink/?linkid=870924
Comment:
    Not correct employment for the GULT.</t>
      </text>
    </comment>
    <comment ref="CK71" authorId="3" shapeId="0" xr:uid="{73EBCB4E-1CC8-41A7-A0EF-1DFC0C990BB6}">
      <text>
        <t>[Threaded comment]
Your version of Excel allows you to read this threaded comment; however, any edits to it will get removed if the file is opened in a newer version of Excel. Learn more: https://go.microsoft.com/fwlink/?linkid=870924
Comment:
    Replaced wtih HQ value in column W which is much higher.</t>
      </text>
    </comment>
    <comment ref="CK113" authorId="4" shapeId="0" xr:uid="{877271F4-6C9E-49EB-9DF0-B25D9BF96DF1}">
      <text>
        <t>[Threaded comment]
Your version of Excel allows you to read this threaded comment; however, any edits to it will get removed if the file is opened in a newer version of Excel. Learn more: https://go.microsoft.com/fwlink/?linkid=870924
Comment:
    Replaced with value from Column W. Considerably higher revenues. For the operator's location.</t>
      </text>
    </comment>
    <comment ref="AM151" authorId="5" shapeId="0" xr:uid="{8B3E282C-F382-4AF2-8451-1EDA18714AEB}">
      <text>
        <t>[Threaded comment]
Your version of Excel allows you to read this threaded comment; however, any edits to it will get removed if the file is opened in a newer version of Excel. Learn more: https://go.microsoft.com/fwlink/?linkid=870924
Comment:
    Not sure this NAICS is correct.</t>
      </text>
    </comment>
    <comment ref="AM156" authorId="6" shapeId="0" xr:uid="{7F50B19E-75C6-489F-B16B-4E52E5ADC0CF}">
      <text>
        <t>[Threaded comment]
Your version of Excel allows you to read this threaded comment; however, any edits to it will get removed if the file is opened in a newer version of Excel. Learn more: https://go.microsoft.com/fwlink/?linkid=870924
Comment:
    This NAICS seems wrong.</t>
      </text>
    </comment>
    <comment ref="AM315" authorId="7" shapeId="0" xr:uid="{2BAD8AA3-231F-4032-ABDF-2942D18C661F}">
      <text>
        <t>[Threaded comment]
Your version of Excel allows you to read this threaded comment; however, any edits to it will get removed if the file is opened in a newer version of Excel. Learn more: https://go.microsoft.com/fwlink/?linkid=870924
Comment:
    D&amp;B look up call them Oil and gas lease brokers</t>
      </text>
    </comment>
    <comment ref="AM363" authorId="8" shapeId="0" xr:uid="{C6DFFCA5-EF97-4324-B896-AC721E4247F1}">
      <text>
        <t>[Threaded comment]
Your version of Excel allows you to read this threaded comment; however, any edits to it will get removed if the file is opened in a newer version of Excel. Learn more: https://go.microsoft.com/fwlink/?linkid=870924
Comment:
    Manta descibes this location as "Categorized under Drilling and Production Platforms, Floating (Oil and Gas)" and uses this NAICS</t>
      </text>
    </comment>
    <comment ref="A402" authorId="9" shapeId="0" xr:uid="{E11EDB77-E03D-4713-8629-2998CCACA5D0}">
      <text>
        <t>[Threaded comment]
Your version of Excel allows you to read this threaded comment; however, any edits to it will get removed if the file is opened in a newer version of Excel. Learn more: https://go.microsoft.com/fwlink/?linkid=870924
Comment:
    Spur Energy Partners LLC has two partners - The Energy and Minerals Group and KKR. The revenues associated with Spur Energy are likely not representative of total resources.</t>
      </text>
    </comment>
    <comment ref="CK402" authorId="10" shapeId="0" xr:uid="{BAEAECCD-2FB1-4E9E-A6F1-D70ED926CA52}">
      <text>
        <t>[Threaded comment]
Your version of Excel allows you to read this threaded comment; however, any edits to it will get removed if the file is opened in a newer version of Excel. Learn more: https://go.microsoft.com/fwlink/?linkid=870924
Comment:
    Spur Energy Partners LLC has two partners - The Energy and Minerals Group and KKR. The revenues associated with Spur Energy are likely not representative of total resources.</t>
      </text>
    </comment>
    <comment ref="AM407" authorId="11" shapeId="0" xr:uid="{25A04034-B0C5-4B4A-9FAB-F3A81B0F3104}">
      <text>
        <t>[Threaded comment]
Your version of Excel allows you to read this threaded comment; however, any edits to it will get removed if the file is opened in a newer version of Excel. Learn more: https://go.microsoft.com/fwlink/?linkid=870924
Comment:
    Not sure that the two companies match. Not sure about this NAICS</t>
      </text>
    </comment>
    <comment ref="AM422" authorId="12" shapeId="0" xr:uid="{985DEDEF-8F6A-4125-B20B-17E77C0A6A47}">
      <text>
        <t>[Threaded comment]
Your version of Excel allows you to read this threaded comment; however, any edits to it will get removed if the file is opened in a newer version of Excel. Learn more: https://go.microsoft.com/fwlink/?linkid=870924
Comment:
    Not sure this NAICS is correct</t>
      </text>
    </comment>
    <comment ref="AM426" authorId="13" shapeId="0" xr:uid="{EF0B2042-161E-49A2-8E24-128294C53622}">
      <text>
        <t>[Threaded comment]
Your version of Excel allows you to read this threaded comment; however, any edits to it will get removed if the file is opened in a newer version of Excel. Learn more: https://go.microsoft.com/fwlink/?linkid=870924
Comment:
    Manta assigns a Bar/Tavern SIC code</t>
      </text>
    </comment>
    <comment ref="AM434" authorId="14" shapeId="0" xr:uid="{1C4DE9E9-B11F-44AC-A55D-5F15D7B2B100}">
      <text>
        <t>[Threaded comment]
Your version of Excel allows you to read this threaded comment; however, any edits to it will get removed if the file is opened in a newer version of Excel. Learn more: https://go.microsoft.com/fwlink/?linkid=870924
Comment:
    Not sure this is the correct NAICS</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tc={74CF442A-6DF0-4874-95FF-13D129253BAA}</author>
  </authors>
  <commentList>
    <comment ref="B2" authorId="0" shapeId="0" xr:uid="{74CF442A-6DF0-4874-95FF-13D129253BAA}">
      <text>
        <t>[Threaded comment]
Your version of Excel allows you to read this threaded comment; however, any edits to it will get removed if the file is opened in a newer version of Excel. Learn more: https://go.microsoft.com/fwlink/?linkid=870924
Comment:
    Includes an update to the name only match for 9 records checked by NAICS.COM</t>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<sst xmlns="http://schemas.openxmlformats.org/spreadsheetml/2006/main" count="20929" uniqueCount="5218">
  <si>
    <t>COMPANY NAME</t>
  </si>
  <si>
    <t>PRIMARY ADDRESS</t>
  </si>
  <si>
    <t>PO BOX</t>
  </si>
  <si>
    <t>PRIMARY CITY</t>
  </si>
  <si>
    <t>PRIMARY STATE</t>
  </si>
  <si>
    <t>PRIMARY ZIP</t>
  </si>
  <si>
    <t>PRIMARY COUNTRY</t>
  </si>
  <si>
    <t>PRIMARY PHONE</t>
  </si>
  <si>
    <t>Input Sequence</t>
  </si>
  <si>
    <t>Bemfab</t>
  </si>
  <si>
    <t>Match Grade</t>
  </si>
  <si>
    <t>Confidence Code</t>
  </si>
  <si>
    <t>DUNS #</t>
  </si>
  <si>
    <t>Business Name</t>
  </si>
  <si>
    <t>Tradestyle Name</t>
  </si>
  <si>
    <t>Street Address</t>
  </si>
  <si>
    <t>City Name</t>
  </si>
  <si>
    <t>State/ Province</t>
  </si>
  <si>
    <t>Postal Code</t>
  </si>
  <si>
    <t>Country</t>
  </si>
  <si>
    <t>Telephone #</t>
  </si>
  <si>
    <t>Sales Volume</t>
  </si>
  <si>
    <t>Employees on Site</t>
  </si>
  <si>
    <t>Total Employees</t>
  </si>
  <si>
    <t>Year Started</t>
  </si>
  <si>
    <t>Location Type</t>
  </si>
  <si>
    <t>CEO Name</t>
  </si>
  <si>
    <t>CEO Title</t>
  </si>
  <si>
    <t>Line of Business</t>
  </si>
  <si>
    <t>Primary SIC 1</t>
  </si>
  <si>
    <t>Primary SIC 1 Description</t>
  </si>
  <si>
    <t>SIC 2</t>
  </si>
  <si>
    <t>SIC 2 Description</t>
  </si>
  <si>
    <t>Eight Digit SIC 1</t>
  </si>
  <si>
    <t>Eight Digit SIC 1 Description</t>
  </si>
  <si>
    <t>Eight Digit SIC 2</t>
  </si>
  <si>
    <t>Eight Digit SIC 2 Description</t>
  </si>
  <si>
    <t>Primary NAICS 1 Code</t>
  </si>
  <si>
    <t>Primary NAICS 1 Description</t>
  </si>
  <si>
    <t>NAICS 2 Code</t>
  </si>
  <si>
    <t>NAICS 2 Description</t>
  </si>
  <si>
    <t>Subsidiary Indicator</t>
  </si>
  <si>
    <t>Global Ult DUNS #</t>
  </si>
  <si>
    <t>Global Ult Name</t>
  </si>
  <si>
    <t>Global Ult Indicator</t>
  </si>
  <si>
    <t>Global Ult State/Prov Abbreviation</t>
  </si>
  <si>
    <t>Global Ult Country</t>
  </si>
  <si>
    <t>Domestic Ult DUNS #</t>
  </si>
  <si>
    <t>Domestic Ult Name</t>
  </si>
  <si>
    <t>Domestic Ult State/Prov Abbreviation</t>
  </si>
  <si>
    <t>Domestic Ult Country</t>
  </si>
  <si>
    <t>Parent DUNS #</t>
  </si>
  <si>
    <t>HQ DUNS #</t>
  </si>
  <si>
    <t>HQ/Parent Name</t>
  </si>
  <si>
    <t>Hq/Parent State/Prov Abbreviation</t>
  </si>
  <si>
    <t>HQ/PARENT COUNTRY</t>
  </si>
  <si>
    <t>Hierarchy Code</t>
  </si>
  <si>
    <t>Number Of Family Members</t>
  </si>
  <si>
    <t>3 Bear Delaware Operating - NM LLC</t>
  </si>
  <si>
    <t>1512 Larimer St</t>
  </si>
  <si>
    <t>Denver</t>
  </si>
  <si>
    <t>CO</t>
  </si>
  <si>
    <t>USA</t>
  </si>
  <si>
    <t>M</t>
  </si>
  <si>
    <t>AAAAAZZ</t>
  </si>
  <si>
    <t>11-713-9518</t>
  </si>
  <si>
    <t>3 Bear Delaware Operating - Nm, LLC</t>
  </si>
  <si>
    <t>1512 Larimer St Ste 540</t>
  </si>
  <si>
    <t>Colorado</t>
  </si>
  <si>
    <t>80202-1620</t>
  </si>
  <si>
    <t>Single Location</t>
  </si>
  <si>
    <t>Oil and gas field services, nec, nsk</t>
  </si>
  <si>
    <t>Oil and Gas Field Services, Nec</t>
  </si>
  <si>
    <t>Oil and gas field services, nec</t>
  </si>
  <si>
    <t>Support Activities for Oil and Gas Operations</t>
  </si>
  <si>
    <t>Not a Subsidiary</t>
  </si>
  <si>
    <t>N</t>
  </si>
  <si>
    <t xml:space="preserve">3 Knights Operating LLC                      </t>
  </si>
  <si>
    <t>16609 CR 1930</t>
  </si>
  <si>
    <t xml:space="preserve">Lubbock </t>
  </si>
  <si>
    <t>TX</t>
  </si>
  <si>
    <t xml:space="preserve">801 LLC                                      </t>
  </si>
  <si>
    <t>P.O. Box 900</t>
  </si>
  <si>
    <t>Artesia</t>
  </si>
  <si>
    <t>NM</t>
  </si>
  <si>
    <t xml:space="preserve">ABO EMPIRE, LLC                              </t>
  </si>
  <si>
    <t xml:space="preserve">ACOMA OIL CORP                               </t>
  </si>
  <si>
    <t>6300 Ridglea Pl</t>
  </si>
  <si>
    <t>Fort Worth</t>
  </si>
  <si>
    <t>A</t>
  </si>
  <si>
    <t>ABFAAZZ</t>
  </si>
  <si>
    <t>96-057-3889</t>
  </si>
  <si>
    <t>Acoma Oil Corporation</t>
  </si>
  <si>
    <t>6100 Western Pl Ste 904</t>
  </si>
  <si>
    <t>Texas</t>
  </si>
  <si>
    <t>76107-4679</t>
  </si>
  <si>
    <t>Branch</t>
  </si>
  <si>
    <t>William Darst</t>
  </si>
  <si>
    <t>President</t>
  </si>
  <si>
    <t>Crude petroleum and natural gas, nsk</t>
  </si>
  <si>
    <t>Crude Petroleum and Natural Gas</t>
  </si>
  <si>
    <t>Security Brokers and Dealers</t>
  </si>
  <si>
    <t>Crude petroleum production</t>
  </si>
  <si>
    <t>Oil and gas lease brokers</t>
  </si>
  <si>
    <t>Crude Petroleum Extraction</t>
  </si>
  <si>
    <t>Miscellaneous Financial Investment Activities</t>
  </si>
  <si>
    <t>05-966-8947</t>
  </si>
  <si>
    <t>MN</t>
  </si>
  <si>
    <t xml:space="preserve">ADDINGTON, LLC                               </t>
  </si>
  <si>
    <t>1405 S. Adams</t>
  </si>
  <si>
    <t xml:space="preserve">ADVANCE ENERGY PARTNERS HAT MESA, LLC        </t>
  </si>
  <si>
    <t>11490 Westheimer Rd.</t>
  </si>
  <si>
    <t>Houston</t>
  </si>
  <si>
    <t>BAAAAZZ</t>
  </si>
  <si>
    <t>09-307-2720</t>
  </si>
  <si>
    <t>Advance Energy Partners, Llc.</t>
  </si>
  <si>
    <t>11490 Westheimer Rd Ste 950</t>
  </si>
  <si>
    <t>77077-6841</t>
  </si>
  <si>
    <t>Peter Lellis</t>
  </si>
  <si>
    <t>Oil and gas exploration services</t>
  </si>
  <si>
    <t>Oil and Gas Exploration Services</t>
  </si>
  <si>
    <t xml:space="preserve">ADVANCED WIRELESS COMMUNICATIONS, L.L.C.     </t>
  </si>
  <si>
    <t>5500 Rail Rd.</t>
  </si>
  <si>
    <t>Farmington</t>
  </si>
  <si>
    <t>Ameredev II LLC</t>
  </si>
  <si>
    <t>2901 Via Fortuna</t>
  </si>
  <si>
    <t>Austin</t>
  </si>
  <si>
    <t>07-784-1580</t>
  </si>
  <si>
    <t>American Resource Development LLC</t>
  </si>
  <si>
    <t>Ameredev</t>
  </si>
  <si>
    <t>2901 Via Fortuna Ste 600</t>
  </si>
  <si>
    <t>78746-7710</t>
  </si>
  <si>
    <t>PARKER REESE</t>
  </si>
  <si>
    <t>Chief Executive Officer</t>
  </si>
  <si>
    <t>Aerial geophysical exploration, oil and gas</t>
  </si>
  <si>
    <t>American Gathering</t>
  </si>
  <si>
    <t>PO Box 90</t>
  </si>
  <si>
    <t>Amarillo</t>
  </si>
  <si>
    <t>Americo Energy Resources LLC</t>
  </si>
  <si>
    <t>7575 San Felipe</t>
  </si>
  <si>
    <t>00-257-4726</t>
  </si>
  <si>
    <t>Americo Energy Resources, LLC</t>
  </si>
  <si>
    <t>7575 San Felipe St Ste 200A</t>
  </si>
  <si>
    <t>77063-1778</t>
  </si>
  <si>
    <t>Ardeshir Tajvari</t>
  </si>
  <si>
    <t>Member</t>
  </si>
  <si>
    <t xml:space="preserve">AMTEX ENERGY INC                             </t>
  </si>
  <si>
    <t>P.O. Box 470158</t>
  </si>
  <si>
    <t>Ft. Worth</t>
  </si>
  <si>
    <t>AZZAAAZ</t>
  </si>
  <si>
    <t>79-660-6945</t>
  </si>
  <si>
    <t>Amtex Energy, Inc.</t>
  </si>
  <si>
    <t>203 W Wall St</t>
  </si>
  <si>
    <t>Midland</t>
  </si>
  <si>
    <t>79701-4530</t>
  </si>
  <si>
    <t>Bill Savage</t>
  </si>
  <si>
    <t>Anadarko Petroleum Corporation</t>
  </si>
  <si>
    <t>PO Box 1330</t>
  </si>
  <si>
    <t>02-640-9797</t>
  </si>
  <si>
    <t>Anadarko</t>
  </si>
  <si>
    <t>1201 Lake Robbins Dr</t>
  </si>
  <si>
    <t>The Woodlands</t>
  </si>
  <si>
    <t>77380-1124</t>
  </si>
  <si>
    <t>Headquarters</t>
  </si>
  <si>
    <t>R A Walker</t>
  </si>
  <si>
    <t>Chairman of the Board</t>
  </si>
  <si>
    <t>Natural Gas Distribution</t>
  </si>
  <si>
    <t>Natural gas distribution</t>
  </si>
  <si>
    <t>Subsidiary</t>
  </si>
  <si>
    <t>00-690-8354</t>
  </si>
  <si>
    <t>Occidental Petroleum Corporation</t>
  </si>
  <si>
    <t xml:space="preserve">ANDERSON OIL LTD.,LLP                        </t>
  </si>
  <si>
    <t>P.O. Box 420</t>
  </si>
  <si>
    <t>Apache Corporation</t>
  </si>
  <si>
    <t>303 Veterans Airpark Lane</t>
  </si>
  <si>
    <t>05-521-1626</t>
  </si>
  <si>
    <t>303 Veterans Airpark Ln Ste 3000</t>
  </si>
  <si>
    <t>79705-4561</t>
  </si>
  <si>
    <t>RAY CAMPBELL</t>
  </si>
  <si>
    <t>Branch Manager</t>
  </si>
  <si>
    <t>00-696-1551</t>
  </si>
  <si>
    <t>Apache Corporation - Central Region Production Office</t>
  </si>
  <si>
    <t>6120 South Yale</t>
  </si>
  <si>
    <t>Tulsa</t>
  </si>
  <si>
    <t>OK</t>
  </si>
  <si>
    <t>94-016-6494</t>
  </si>
  <si>
    <t>Propane Central, L.L.C.</t>
  </si>
  <si>
    <t>6120 S Yale Ave Ste 805</t>
  </si>
  <si>
    <t>Oklahoma</t>
  </si>
  <si>
    <t>74136-4217</t>
  </si>
  <si>
    <t>Liquefied petroleum gas dealers</t>
  </si>
  <si>
    <t>Liquefied Petroleum Gas Dealers</t>
  </si>
  <si>
    <t>Propane gas, bottled</t>
  </si>
  <si>
    <t>Fuel Dealers</t>
  </si>
  <si>
    <t>Archrock Services, LP</t>
  </si>
  <si>
    <t>9807 Katy Freeway</t>
  </si>
  <si>
    <t>07-984-5172</t>
  </si>
  <si>
    <t>Archrock Services, L.P.</t>
  </si>
  <si>
    <t>9807 Katy Fwy Ste 100</t>
  </si>
  <si>
    <t>77024-1276</t>
  </si>
  <si>
    <t>Brad Childers</t>
  </si>
  <si>
    <t>Gas compressing (natural gas) at the fields</t>
  </si>
  <si>
    <t>80-650-6437</t>
  </si>
  <si>
    <t>Archrock, Inc.</t>
  </si>
  <si>
    <t>Arena Resources, Inc.</t>
  </si>
  <si>
    <t>315 South Leech</t>
  </si>
  <si>
    <t>Hobbs</t>
  </si>
  <si>
    <t xml:space="preserve">ARMSTRONG ENERGY CORP                        </t>
  </si>
  <si>
    <t>P.O. Box 1973</t>
  </si>
  <si>
    <t>Roswell</t>
  </si>
  <si>
    <t>08-447-4360</t>
  </si>
  <si>
    <t>Armstrong Energy Corporation</t>
  </si>
  <si>
    <t>AEC Operating Company</t>
  </si>
  <si>
    <t>500 N Main St Ste 200</t>
  </si>
  <si>
    <t>New Mexico</t>
  </si>
  <si>
    <t>88201-4786</t>
  </si>
  <si>
    <t>Robert G Armstrong</t>
  </si>
  <si>
    <t xml:space="preserve">ASCENT ENERGY, LLC.                          </t>
  </si>
  <si>
    <t>1125 17th St.</t>
  </si>
  <si>
    <t>08-120-2062</t>
  </si>
  <si>
    <t>Ascent Energy, LLC</t>
  </si>
  <si>
    <t>1125 17TH St Ste 410</t>
  </si>
  <si>
    <t>80202-2061</t>
  </si>
  <si>
    <t xml:space="preserve">ASHER ENTERPRISES LTD. CO.                   </t>
  </si>
  <si>
    <t>11063-D So. Memorial Drive, PMB 525</t>
  </si>
  <si>
    <t>BBAAAZZ</t>
  </si>
  <si>
    <t>01-493-0454</t>
  </si>
  <si>
    <t>Asher Properties LLC</t>
  </si>
  <si>
    <t>11029 S Memorial Dr</t>
  </si>
  <si>
    <t>74133-7357</t>
  </si>
  <si>
    <t>DANIEL RUHL</t>
  </si>
  <si>
    <t>Principal</t>
  </si>
  <si>
    <t>Nonresidential building operators</t>
  </si>
  <si>
    <t>Nonresidential Building Operators</t>
  </si>
  <si>
    <t>Nonresidential Property Managers</t>
  </si>
  <si>
    <t xml:space="preserve">ASPEN OPERATING COMPANY LLC                  </t>
  </si>
  <si>
    <t>210 West Sixth Street</t>
  </si>
  <si>
    <t>04-739-2670</t>
  </si>
  <si>
    <t>Aspen Integrated Oil &amp; Gas, LP</t>
  </si>
  <si>
    <t>210 W 6TH St Ste 1301</t>
  </si>
  <si>
    <t>76102-4804</t>
  </si>
  <si>
    <t>Philip H Carlisle</t>
  </si>
  <si>
    <t>Partner</t>
  </si>
  <si>
    <t>Geological exploration, oil and gas field</t>
  </si>
  <si>
    <t>Atlantic Richfield Company</t>
  </si>
  <si>
    <t>1701 Summit</t>
  </si>
  <si>
    <t>Plano</t>
  </si>
  <si>
    <t>ABAAAZZ</t>
  </si>
  <si>
    <t>79-606-2503</t>
  </si>
  <si>
    <t>A R C O</t>
  </si>
  <si>
    <t>1601 Summit Ave</t>
  </si>
  <si>
    <t>75074-8110</t>
  </si>
  <si>
    <t>Jim Mc Cullor</t>
  </si>
  <si>
    <t>Gasoline service stations</t>
  </si>
  <si>
    <t>Gasoline Service Stations</t>
  </si>
  <si>
    <t>Filling stations, gasoline</t>
  </si>
  <si>
    <t>Other Gasoline Stations</t>
  </si>
  <si>
    <t>21-004-2669</t>
  </si>
  <si>
    <t>BP P.L.C.</t>
  </si>
  <si>
    <t>England</t>
  </si>
  <si>
    <t>03-959-6507</t>
  </si>
  <si>
    <t>BP America Inc</t>
  </si>
  <si>
    <t>IL</t>
  </si>
  <si>
    <t>04-542-6723</t>
  </si>
  <si>
    <t>Atlantic Richfield Company Inc</t>
  </si>
  <si>
    <t>CA</t>
  </si>
  <si>
    <t xml:space="preserve">B2J, L.L.C.                                  </t>
  </si>
  <si>
    <t>P.O. Box 52</t>
  </si>
  <si>
    <t xml:space="preserve">Lovington </t>
  </si>
  <si>
    <t xml:space="preserve">BAM Permian Operating, LLC                   </t>
  </si>
  <si>
    <t>4416 Briarwood Ave.</t>
  </si>
  <si>
    <t>05-203-3234</t>
  </si>
  <si>
    <t>Bam Permian Operating, LLC</t>
  </si>
  <si>
    <t>4416 Briarwood Ave Ste 110 Pmb 53</t>
  </si>
  <si>
    <t>79707-2616</t>
  </si>
  <si>
    <t>Blake Morphew</t>
  </si>
  <si>
    <t>Crude petroleum and natural gas</t>
  </si>
  <si>
    <t xml:space="preserve">BAR V BARB LLC                               </t>
  </si>
  <si>
    <t>P.O. Box 4435</t>
  </si>
  <si>
    <t>AZZAAZZ</t>
  </si>
  <si>
    <t>01-474-4169</t>
  </si>
  <si>
    <t>Bar V Barb LLC</t>
  </si>
  <si>
    <t>3101 E 2ND St</t>
  </si>
  <si>
    <t>88201-9578</t>
  </si>
  <si>
    <t>KELLY CASSELS</t>
  </si>
  <si>
    <t>Drinking places, nsk</t>
  </si>
  <si>
    <t>Drinking Places</t>
  </si>
  <si>
    <t>Drinking places</t>
  </si>
  <si>
    <t>Drinking Places (Alcoholic Beverages)</t>
  </si>
  <si>
    <t xml:space="preserve">BARRY D LEE DBA BARRY LEE INVESTMENTS        </t>
  </si>
  <si>
    <t>Hc65 Box 222</t>
  </si>
  <si>
    <t>Crossroads</t>
  </si>
  <si>
    <t xml:space="preserve">BC &amp; D OPERATING INC.                        </t>
  </si>
  <si>
    <t>1008 West Broadway</t>
  </si>
  <si>
    <t xml:space="preserve">BC OPERATING, INC.                           </t>
  </si>
  <si>
    <t>P.O. Box 50820</t>
  </si>
  <si>
    <t>78-397-3290</t>
  </si>
  <si>
    <t>Bc Operating Inc.</t>
  </si>
  <si>
    <t>4000 N Big Spring St Ste 310</t>
  </si>
  <si>
    <t>79705-4628</t>
  </si>
  <si>
    <t>Michael E Black</t>
  </si>
  <si>
    <t xml:space="preserve">BEACH EXPLORATION INC                        </t>
  </si>
  <si>
    <t xml:space="preserve">800 North Marienfeld </t>
  </si>
  <si>
    <t xml:space="preserve">Midland </t>
  </si>
  <si>
    <t>07-855-2726</t>
  </si>
  <si>
    <t>Beach Exploration Inc</t>
  </si>
  <si>
    <t>800 N Marienfeld St Ste 200</t>
  </si>
  <si>
    <t>79701-3382</t>
  </si>
  <si>
    <t>Charles S Beach</t>
  </si>
  <si>
    <t xml:space="preserve">BENSON-MONTIN-GREER DRILLING CORP            </t>
  </si>
  <si>
    <t>4900 College Blvd</t>
  </si>
  <si>
    <t>87402-4648</t>
  </si>
  <si>
    <t>00-746-1650</t>
  </si>
  <si>
    <t>Benson-Montin-Greer Drilling Corp.</t>
  </si>
  <si>
    <t>B M G</t>
  </si>
  <si>
    <t>Mike Dimond</t>
  </si>
  <si>
    <t xml:space="preserve">BETTIS BOYLE &amp; STOVALL,INC.                  </t>
  </si>
  <si>
    <t>P.O. Box 1240</t>
  </si>
  <si>
    <t>Graham</t>
  </si>
  <si>
    <t>04-380-6595</t>
  </si>
  <si>
    <t>Bettis, Boyle &amp; Stovall, Inc.</t>
  </si>
  <si>
    <t>505 5TH St</t>
  </si>
  <si>
    <t>76450-2506</t>
  </si>
  <si>
    <t>Harry M Bettis</t>
  </si>
  <si>
    <t xml:space="preserve">BILL L MILLER                                </t>
  </si>
  <si>
    <t>P.O. Box 3396</t>
  </si>
  <si>
    <t xml:space="preserve">Evergreen </t>
  </si>
  <si>
    <t xml:space="preserve">BIYA OPERATORS INC.                          </t>
  </si>
  <si>
    <t>P.O. Box 370</t>
  </si>
  <si>
    <t>Littleton</t>
  </si>
  <si>
    <t xml:space="preserve">BK EXPLORATION CORP                          </t>
  </si>
  <si>
    <t>P.O. Box 52098</t>
  </si>
  <si>
    <t>74152-0098</t>
  </si>
  <si>
    <t>79-937-3485</t>
  </si>
  <si>
    <t>Bk Exploration Corporation</t>
  </si>
  <si>
    <t>10159 E 11TH St Ste 401</t>
  </si>
  <si>
    <t>74128-3028</t>
  </si>
  <si>
    <t>Bob Kimmel</t>
  </si>
  <si>
    <t>Black Hawk Energy Corporation</t>
  </si>
  <si>
    <t>2351 S Holly Place</t>
  </si>
  <si>
    <t xml:space="preserve">BLACKBEARD OPERATING, LLC                    </t>
  </si>
  <si>
    <t>1751 River Run</t>
  </si>
  <si>
    <t xml:space="preserve">BLACKWELL OPERATING LLC                      </t>
  </si>
  <si>
    <t>P.O. Box 202</t>
  </si>
  <si>
    <t>Andrews</t>
  </si>
  <si>
    <t>Bledsoe Partner</t>
  </si>
  <si>
    <t>3908 N Peniel</t>
  </si>
  <si>
    <t>Bethany</t>
  </si>
  <si>
    <t>10-078-1444</t>
  </si>
  <si>
    <t>Bristow Village Partners Gp, LLC</t>
  </si>
  <si>
    <t>3908 N Peniel Ave Ste 450</t>
  </si>
  <si>
    <t>73008-3402</t>
  </si>
  <si>
    <t>Real estate agents and managers</t>
  </si>
  <si>
    <t>Real Estate Agents and Managers</t>
  </si>
  <si>
    <t>Offices of Real Estate Agents and Brokers</t>
  </si>
  <si>
    <t xml:space="preserve">BLUE RUBY OPERATING, LLC                     </t>
  </si>
  <si>
    <t>7201 East CR 112</t>
  </si>
  <si>
    <t xml:space="preserve">BOBBY MCKAY DBA 5 A OIL COMPANY              </t>
  </si>
  <si>
    <t xml:space="preserve">BOGE, INC.                                   </t>
  </si>
  <si>
    <t>5109 CR 7640</t>
  </si>
  <si>
    <t>Bonneville Fuels Corporation</t>
  </si>
  <si>
    <t>155 Inverness Dr West</t>
  </si>
  <si>
    <t>Englewood</t>
  </si>
  <si>
    <t>BOPCO L.P.</t>
  </si>
  <si>
    <t>6401 Holiday Hill Rd</t>
  </si>
  <si>
    <t>79707-2156</t>
  </si>
  <si>
    <t>07-927-7441</t>
  </si>
  <si>
    <t>Bopco, L.P.</t>
  </si>
  <si>
    <t>6401 Holiday Hill Rd # 200</t>
  </si>
  <si>
    <t>Simianne Hayden</t>
  </si>
  <si>
    <t>Fuel oil dealers</t>
  </si>
  <si>
    <t>Fuel Oil Dealers</t>
  </si>
  <si>
    <t>00-894-8440</t>
  </si>
  <si>
    <t>Bass Enterprises Production Co</t>
  </si>
  <si>
    <t>82-849-4448</t>
  </si>
  <si>
    <t xml:space="preserve">BP America Production Company </t>
  </si>
  <si>
    <t>1950 N. Stemmons Frwy. Suite 5010</t>
  </si>
  <si>
    <t>PO Box 841560</t>
  </si>
  <si>
    <t>Dallas</t>
  </si>
  <si>
    <t>75207-1462</t>
  </si>
  <si>
    <t xml:space="preserve">BP AMERICA PRODUCTION COMPANY                </t>
  </si>
  <si>
    <t>1199 Main Avenue</t>
  </si>
  <si>
    <t>Durango</t>
  </si>
  <si>
    <t>BP Pipelines (North America) Inc</t>
  </si>
  <si>
    <t>28100 Torch Pkwy</t>
  </si>
  <si>
    <t>Warrenville</t>
  </si>
  <si>
    <t>00-790-7975</t>
  </si>
  <si>
    <t>BP Pipelines (north America) Inc.</t>
  </si>
  <si>
    <t>AMOCO</t>
  </si>
  <si>
    <t>28100 Torch Pkwy Ste 600</t>
  </si>
  <si>
    <t>Illinois</t>
  </si>
  <si>
    <t>60555-4030</t>
  </si>
  <si>
    <t>D</t>
  </si>
  <si>
    <t>D Wight</t>
  </si>
  <si>
    <t>Refined Petroleum Pipelines</t>
  </si>
  <si>
    <t>Refined petroleum pipelines</t>
  </si>
  <si>
    <t>Pipeline Transportation of Refined Petroleum Products</t>
  </si>
  <si>
    <t>61-079-3622</t>
  </si>
  <si>
    <t>BP Company North America Inc.</t>
  </si>
  <si>
    <t xml:space="preserve">BRADLEY MCINROE DBA BIG AL OIL &amp; GAS         </t>
  </si>
  <si>
    <t>P.O. Box 669</t>
  </si>
  <si>
    <t xml:space="preserve">Levelland </t>
  </si>
  <si>
    <t xml:space="preserve">BREITBURN OPERATING LP                       </t>
  </si>
  <si>
    <t>111 Bagby St.</t>
  </si>
  <si>
    <t>O</t>
  </si>
  <si>
    <t>79-048-5580</t>
  </si>
  <si>
    <t>Breitburn Operating L.P.</t>
  </si>
  <si>
    <t>1111 Bagby St Ste 1600</t>
  </si>
  <si>
    <t>77002-2547</t>
  </si>
  <si>
    <t>Jackson</t>
  </si>
  <si>
    <t>James G Jackson</t>
  </si>
  <si>
    <t>Crude petroleum and natural gas production</t>
  </si>
  <si>
    <t>Construction, repair, and dismantling services</t>
  </si>
  <si>
    <t>Oil and Gas Pipeline and Related Structures Construction</t>
  </si>
  <si>
    <t xml:space="preserve">BRIDGECREEK RESOURCES (COLORADO), LLC        </t>
  </si>
  <si>
    <t>8100 SouthPark Way</t>
  </si>
  <si>
    <t xml:space="preserve">BRIDWELL OIL CO                              </t>
  </si>
  <si>
    <t>P.O. Drawer 1830</t>
  </si>
  <si>
    <t>Wichita Falls</t>
  </si>
  <si>
    <t>BZZAAAZ</t>
  </si>
  <si>
    <t>00-793-8004</t>
  </si>
  <si>
    <t>Bridwell Oil Management LLC</t>
  </si>
  <si>
    <t>810 8TH St</t>
  </si>
  <si>
    <t>76301-3303</t>
  </si>
  <si>
    <t>Steve Ginnings</t>
  </si>
  <si>
    <t>General Manager</t>
  </si>
  <si>
    <t>Oil field services, nec</t>
  </si>
  <si>
    <t>Y</t>
  </si>
  <si>
    <t>BTA Oil Producers, LLC</t>
  </si>
  <si>
    <t>104 South Pecos St.</t>
  </si>
  <si>
    <t>79701-5099</t>
  </si>
  <si>
    <t>05-272-9530</t>
  </si>
  <si>
    <t>Bta Oil Producers, LLC</t>
  </si>
  <si>
    <t>104 S Pecos St</t>
  </si>
  <si>
    <t>CARLTON BEAL Junior</t>
  </si>
  <si>
    <t xml:space="preserve">BUFFCO PRODUCTION, INC.                      </t>
  </si>
  <si>
    <t>P.O. Box 2243</t>
  </si>
  <si>
    <t>Longview</t>
  </si>
  <si>
    <t>15-589-5386</t>
  </si>
  <si>
    <t>Buffco Production, Inc.</t>
  </si>
  <si>
    <t>Bpi Equipment and Service</t>
  </si>
  <si>
    <t>5006 State Highway 31 N</t>
  </si>
  <si>
    <t>Frank M Bufkin III</t>
  </si>
  <si>
    <t xml:space="preserve">BURGUNDY OIL &amp; GAS OF N M INC                </t>
  </si>
  <si>
    <t>505 N. Big Spring St.</t>
  </si>
  <si>
    <t>78-727-8746</t>
  </si>
  <si>
    <t>Burgundy Oil &amp; Gas Inc</t>
  </si>
  <si>
    <t>Burgundy Oil and Gas of Mexico</t>
  </si>
  <si>
    <t>505 N Big Spring St Ste 603</t>
  </si>
  <si>
    <t>79701-4396</t>
  </si>
  <si>
    <t>Ben Taylor</t>
  </si>
  <si>
    <t xml:space="preserve">BURK ROYALTY CO., LTD.                       </t>
  </si>
  <si>
    <t>P.O. Box 94903</t>
  </si>
  <si>
    <t>00-793-8012</t>
  </si>
  <si>
    <t>Burk Royalty Co., Ltd.</t>
  </si>
  <si>
    <t>4245 Kemp Blvd Ste 600</t>
  </si>
  <si>
    <t>76308-2829</t>
  </si>
  <si>
    <t>David A Kimbell Senior</t>
  </si>
  <si>
    <t>Burlington Resources Oil &amp; Gas</t>
  </si>
  <si>
    <t>PO Box 4289</t>
  </si>
  <si>
    <t xml:space="preserve">NM </t>
  </si>
  <si>
    <t xml:space="preserve">Burnett Oil Co Inc </t>
  </si>
  <si>
    <t>801 Cherry Street</t>
  </si>
  <si>
    <t>09-974-3692</t>
  </si>
  <si>
    <t>Burnett Oil Co., Inc.</t>
  </si>
  <si>
    <t>801 Cherry St Unit 9</t>
  </si>
  <si>
    <t>76102-6881</t>
  </si>
  <si>
    <t>William Pollard</t>
  </si>
  <si>
    <t xml:space="preserve">BXP Operating, LLC                           </t>
  </si>
  <si>
    <t>P.O. Box 7227</t>
  </si>
  <si>
    <t>92-630-2514</t>
  </si>
  <si>
    <t>Bxp, Ltd.</t>
  </si>
  <si>
    <t>Bxp Operating</t>
  </si>
  <si>
    <t>3860 W Northwest Hwy Ste 325</t>
  </si>
  <si>
    <t>75220-5167</t>
  </si>
  <si>
    <t>Charles D Brown</t>
  </si>
  <si>
    <t xml:space="preserve">C O FULTON                                   </t>
  </si>
  <si>
    <t>P.O. Box 1176</t>
  </si>
  <si>
    <t>80-376-9041</t>
  </si>
  <si>
    <t>C O Fulton</t>
  </si>
  <si>
    <t>712 W Clayton Ave</t>
  </si>
  <si>
    <t>88210-2726</t>
  </si>
  <si>
    <t>C O FULTON</t>
  </si>
  <si>
    <t>Owner</t>
  </si>
  <si>
    <t xml:space="preserve">C&amp;D MANAGEMENT COMPANY DBA FREEDOM VENTURES  </t>
  </si>
  <si>
    <t>513 Don Lyle Road</t>
  </si>
  <si>
    <t>Edmonton</t>
  </si>
  <si>
    <t>KY</t>
  </si>
  <si>
    <t>61-564-7836</t>
  </si>
  <si>
    <t>C&amp;D Management Co</t>
  </si>
  <si>
    <t>513 Don Lyle Rd</t>
  </si>
  <si>
    <t>Kentucky</t>
  </si>
  <si>
    <t>42129-8229</t>
  </si>
  <si>
    <t>DARLA S JEFFRIES</t>
  </si>
  <si>
    <t>Management services, nsk</t>
  </si>
  <si>
    <t>Management Services</t>
  </si>
  <si>
    <t>Management services</t>
  </si>
  <si>
    <t>Office Administrative Services</t>
  </si>
  <si>
    <t xml:space="preserve">CAMBRIAN MANAGEMENT LTD                      </t>
  </si>
  <si>
    <t>P.O. Box 272</t>
  </si>
  <si>
    <t>03-465-0999</t>
  </si>
  <si>
    <t>Cambrian Management, Ltd.</t>
  </si>
  <si>
    <t>415 W Wall St Ste 900</t>
  </si>
  <si>
    <t>79701-4537</t>
  </si>
  <si>
    <t>Alan D Means</t>
  </si>
  <si>
    <t>Management consulting services</t>
  </si>
  <si>
    <t>Management Consulting Services</t>
  </si>
  <si>
    <t>Engineering Services</t>
  </si>
  <si>
    <t>Construction project management consultant</t>
  </si>
  <si>
    <t>Engineering services</t>
  </si>
  <si>
    <t>Administrative Management and General Management Consulting Services</t>
  </si>
  <si>
    <t xml:space="preserve">CAMERON OIL &amp; GAS INC                        </t>
  </si>
  <si>
    <t>P.O. Box 1089</t>
  </si>
  <si>
    <t>Eunice</t>
  </si>
  <si>
    <t>14-662-5384</t>
  </si>
  <si>
    <t>Cameron Oil and Gas Inc</t>
  </si>
  <si>
    <t>Sarah B</t>
  </si>
  <si>
    <t>Drilling oil and gas wells, nsk</t>
  </si>
  <si>
    <t>Drilling Oil and Gas Wells</t>
  </si>
  <si>
    <t>Drilling oil and gas wells</t>
  </si>
  <si>
    <t xml:space="preserve">CANO PETRO OF NEW MEXICO, INC.               </t>
  </si>
  <si>
    <t xml:space="preserve">CAPROCK EXPLORATION INC                      </t>
  </si>
  <si>
    <t>P.O. Box 7288</t>
  </si>
  <si>
    <t>Odessa</t>
  </si>
  <si>
    <t>83-733-0836</t>
  </si>
  <si>
    <t>Caprock Exploration</t>
  </si>
  <si>
    <t>2656 S County Rd W</t>
  </si>
  <si>
    <t>79766-8807</t>
  </si>
  <si>
    <t>Joe Cook</t>
  </si>
  <si>
    <t>Gas field services, nec</t>
  </si>
  <si>
    <t xml:space="preserve">Catena Resources Operating, LLC              </t>
  </si>
  <si>
    <t>18402 US Hwy 281 N</t>
  </si>
  <si>
    <t>San Antonio</t>
  </si>
  <si>
    <t>06-591-5199</t>
  </si>
  <si>
    <t>Catena Resources Operating, LLC</t>
  </si>
  <si>
    <t>18402 US Highway 281 N</t>
  </si>
  <si>
    <t>78259-7605</t>
  </si>
  <si>
    <t>William Edwards</t>
  </si>
  <si>
    <t>Business planning and organizing services</t>
  </si>
  <si>
    <t xml:space="preserve">CAZA OPERATING, LLC                          </t>
  </si>
  <si>
    <t>200 N Loraine St</t>
  </si>
  <si>
    <t>08-556-8637</t>
  </si>
  <si>
    <t>Caza Operating, LLC</t>
  </si>
  <si>
    <t>200 N Loraine St Ste 1550</t>
  </si>
  <si>
    <t>79701-4765</t>
  </si>
  <si>
    <t>John R Mcgoldrick</t>
  </si>
  <si>
    <t>CCI San Juan LLC</t>
  </si>
  <si>
    <t>99 Road 6500</t>
  </si>
  <si>
    <t>Kirtland</t>
  </si>
  <si>
    <t>06-675-4160</t>
  </si>
  <si>
    <t>87417-9096</t>
  </si>
  <si>
    <t>Engineering services, nsk</t>
  </si>
  <si>
    <t>Centennial Resource Development Inc</t>
  </si>
  <si>
    <t>500 W Illinois St</t>
  </si>
  <si>
    <t>05-612-2411</t>
  </si>
  <si>
    <t>Centennial Resource Management LLC</t>
  </si>
  <si>
    <t>400 W Illinois Ave Ste 1601</t>
  </si>
  <si>
    <t>79701-4640</t>
  </si>
  <si>
    <t xml:space="preserve">CENTENNIAL RESOURCE PRODUCTION, LLC          </t>
  </si>
  <si>
    <t>1001 17th Street</t>
  </si>
  <si>
    <t>07-883-0690</t>
  </si>
  <si>
    <t>Centennial Resource Production, LLC</t>
  </si>
  <si>
    <t>1401 17TH St Ste 1000</t>
  </si>
  <si>
    <t>80202-1247</t>
  </si>
  <si>
    <t>Ward Polzin</t>
  </si>
  <si>
    <t>08-017-0444</t>
  </si>
  <si>
    <t>Centennial Resource Development, Inc.</t>
  </si>
  <si>
    <t>Centurion Energy Transportation</t>
  </si>
  <si>
    <t>3600 West Sam Houston Pkwy South</t>
  </si>
  <si>
    <t>11-681-4405</t>
  </si>
  <si>
    <t>Centurion Pipeline Company, LLC</t>
  </si>
  <si>
    <t>3600 W Sam Houston Pkwy S Ste 500</t>
  </si>
  <si>
    <t>77042-5096</t>
  </si>
  <si>
    <t>Pipe testing, oil field service</t>
  </si>
  <si>
    <t xml:space="preserve">CFM OIL, LLC                                 </t>
  </si>
  <si>
    <t>02-059-5737</t>
  </si>
  <si>
    <t>CFM Oil Co</t>
  </si>
  <si>
    <t>Riverview Oil Company</t>
  </si>
  <si>
    <t>Louis F Fulton</t>
  </si>
  <si>
    <t>Grocery stores, nsk</t>
  </si>
  <si>
    <t>Grocery Stores</t>
  </si>
  <si>
    <t>Grocery stores</t>
  </si>
  <si>
    <t>Supermarkets and Other Grocery (except Convenience) Stores</t>
  </si>
  <si>
    <t>Chaparral Energy LLC</t>
  </si>
  <si>
    <t>701 Cedar Lake Blvd</t>
  </si>
  <si>
    <t>Oklahoma City</t>
  </si>
  <si>
    <t>83-728-1781</t>
  </si>
  <si>
    <t>Noram Petroleum Corp</t>
  </si>
  <si>
    <t>Shapiro Energy</t>
  </si>
  <si>
    <t>73114-7806</t>
  </si>
  <si>
    <t>Mark Fischer</t>
  </si>
  <si>
    <t xml:space="preserve">CHAPARRAL OIL &amp; GAS CO                       </t>
  </si>
  <si>
    <t>P.O. Box 100</t>
  </si>
  <si>
    <t>Aztec</t>
  </si>
  <si>
    <t>07-577-0040</t>
  </si>
  <si>
    <t>Chaparral Oil &amp; Gas Co Inc</t>
  </si>
  <si>
    <t>900 S Main Ave</t>
  </si>
  <si>
    <t>87410-2285</t>
  </si>
  <si>
    <t>Jerry Sandel</t>
  </si>
  <si>
    <t>Natural gas production</t>
  </si>
  <si>
    <t>Charger Resources</t>
  </si>
  <si>
    <t>9001 Airport Freeway</t>
  </si>
  <si>
    <t>North Richland Hills</t>
  </si>
  <si>
    <t xml:space="preserve">TX </t>
  </si>
  <si>
    <t>04-135-8690</t>
  </si>
  <si>
    <t>Charger Resources LLC</t>
  </si>
  <si>
    <t>9001 Airport Fwy Ste 700</t>
  </si>
  <si>
    <t>76180-7781</t>
  </si>
  <si>
    <t>ROBERT LEHMANN</t>
  </si>
  <si>
    <t>Chesapeake Operating Inc</t>
  </si>
  <si>
    <t>PO Box 18496</t>
  </si>
  <si>
    <t>Oklahoma City, OK 73118</t>
  </si>
  <si>
    <t xml:space="preserve">OK </t>
  </si>
  <si>
    <t>60-128-5422</t>
  </si>
  <si>
    <t>Chesapeake Operating, L.L.C.</t>
  </si>
  <si>
    <t>6100 N Western Ave</t>
  </si>
  <si>
    <t>73118-1044</t>
  </si>
  <si>
    <t>Robert D Lawler</t>
  </si>
  <si>
    <t>Building oil and gas well foundations on site</t>
  </si>
  <si>
    <t>80-009-0045</t>
  </si>
  <si>
    <t>Chesapeake Energy Corporation</t>
  </si>
  <si>
    <t xml:space="preserve">CHEVRON MIDCONTINENT, L.P. </t>
  </si>
  <si>
    <t>6301 Deauville Blvd</t>
  </si>
  <si>
    <t>07-660-4387</t>
  </si>
  <si>
    <t>Chevron Companies</t>
  </si>
  <si>
    <t>6301 Deauville</t>
  </si>
  <si>
    <t>79706-2964</t>
  </si>
  <si>
    <t xml:space="preserve">Chevron North America Exploration &amp; Production Co </t>
  </si>
  <si>
    <t>15 Smith Road</t>
  </si>
  <si>
    <t>03-073-6931</t>
  </si>
  <si>
    <t>Chevron Pipeline</t>
  </si>
  <si>
    <t>15 Smith Rd 1121</t>
  </si>
  <si>
    <t>79705-5400</t>
  </si>
  <si>
    <t>JACK HARPER</t>
  </si>
  <si>
    <t xml:space="preserve">CHI OPERATING INC                            </t>
  </si>
  <si>
    <t>P.O. Box 1799</t>
  </si>
  <si>
    <t>19-488-6917</t>
  </si>
  <si>
    <t>CHI Operating Inc</t>
  </si>
  <si>
    <t>212 N Main St Ste 200</t>
  </si>
  <si>
    <t>79701-5231</t>
  </si>
  <si>
    <t>William R Bergman</t>
  </si>
  <si>
    <t>Chisholm Energy Operating LLC</t>
  </si>
  <si>
    <t>08-061-5962</t>
  </si>
  <si>
    <t>Chisholm Energy Operating, LLC</t>
  </si>
  <si>
    <t>801 Cherry St Ste 1200</t>
  </si>
  <si>
    <t>76102-6825</t>
  </si>
  <si>
    <t>Aaron Gaydosik</t>
  </si>
  <si>
    <t>Chief Financial Officer</t>
  </si>
  <si>
    <t>08-070-4797</t>
  </si>
  <si>
    <t>Chisholm Energy Holdings, LLC</t>
  </si>
  <si>
    <t xml:space="preserve">CHISOS, LTD                                  </t>
  </si>
  <si>
    <t>1331 Lamar Street</t>
  </si>
  <si>
    <t>36-355-7047</t>
  </si>
  <si>
    <t>Chisos Ltd</t>
  </si>
  <si>
    <t>1331 Lamar St</t>
  </si>
  <si>
    <t>Sue Ann Craddock</t>
  </si>
  <si>
    <t>Business consulting, nec, nsk</t>
  </si>
  <si>
    <t>Business Consulting, Nec</t>
  </si>
  <si>
    <t>Business consulting, nec</t>
  </si>
  <si>
    <t>Other Management Consulting Services</t>
  </si>
  <si>
    <t xml:space="preserve">CHRISTMAS, LLC                               </t>
  </si>
  <si>
    <t>P.O. Box 718</t>
  </si>
  <si>
    <t>Cimarex Energy Co of Colorado</t>
  </si>
  <si>
    <t>202 S. Cheyenne Ave</t>
  </si>
  <si>
    <t>12-255-7445</t>
  </si>
  <si>
    <t>Cimarex Energy Co.</t>
  </si>
  <si>
    <t>202 S Cheyenne Ave Ste 1000</t>
  </si>
  <si>
    <t>74103-3001</t>
  </si>
  <si>
    <t>Gerald Nagel</t>
  </si>
  <si>
    <t>Vice President</t>
  </si>
  <si>
    <t>12-080-9749</t>
  </si>
  <si>
    <t>CIMAREX ENERGY CO.</t>
  </si>
  <si>
    <t>600 N. Marienfeld Street</t>
  </si>
  <si>
    <t>00-637-8203</t>
  </si>
  <si>
    <t>600 N Marienfeld St Ste 600</t>
  </si>
  <si>
    <t>79701-4405</t>
  </si>
  <si>
    <t>ROBERT CANON</t>
  </si>
  <si>
    <t>Manager</t>
  </si>
  <si>
    <t>Citation Oil and Gas Corporation</t>
  </si>
  <si>
    <t>PO Box 690688</t>
  </si>
  <si>
    <t>05-877-8853</t>
  </si>
  <si>
    <t>Citation Oil &amp; Gas Corp.</t>
  </si>
  <si>
    <t>14077 Cutten Rd</t>
  </si>
  <si>
    <t>77069-2212</t>
  </si>
  <si>
    <t>Forrest E Harrell</t>
  </si>
  <si>
    <t xml:space="preserve">CML EXPLORATION, LLC                         </t>
  </si>
  <si>
    <t>P.O. Box 890</t>
  </si>
  <si>
    <t>Snyder</t>
  </si>
  <si>
    <t>07-960-9092</t>
  </si>
  <si>
    <t>Cml Exploration, LLC</t>
  </si>
  <si>
    <t>1105 Old Lubbock Hwy</t>
  </si>
  <si>
    <t>Donna Hartman</t>
  </si>
  <si>
    <t>80-840-9341</t>
  </si>
  <si>
    <t>CO2 Inc</t>
  </si>
  <si>
    <t>1809 S Midkiff</t>
  </si>
  <si>
    <t>10-821-5310</t>
  </si>
  <si>
    <t>Co2, Inc</t>
  </si>
  <si>
    <t>1809 S Midkiff Rd</t>
  </si>
  <si>
    <t>79701-8848</t>
  </si>
  <si>
    <t>randall decker</t>
  </si>
  <si>
    <t>Industrial gases</t>
  </si>
  <si>
    <t>Industrial Gases</t>
  </si>
  <si>
    <t>Carbon dioxide</t>
  </si>
  <si>
    <t>Industrial Gas Manufacturing</t>
  </si>
  <si>
    <t xml:space="preserve">COBALT OPERATING, LLC                        </t>
  </si>
  <si>
    <t>PO Box 51468</t>
  </si>
  <si>
    <t>06-068-3188</t>
  </si>
  <si>
    <t>Cobalt Operating, LLC</t>
  </si>
  <si>
    <t>3001 N Big Spring St Ste 207</t>
  </si>
  <si>
    <t>79705-5375</t>
  </si>
  <si>
    <t>Mark Burkett</t>
  </si>
  <si>
    <t xml:space="preserve">COBRA OIL &amp; GAS CORPORATION                  </t>
  </si>
  <si>
    <t>P.O. Box 8206</t>
  </si>
  <si>
    <t>00-596-4614</t>
  </si>
  <si>
    <t>Cobra Oil &amp; Gas Corporation</t>
  </si>
  <si>
    <t>2201 Kell Blvd</t>
  </si>
  <si>
    <t>76308-1000</t>
  </si>
  <si>
    <t>Arvin R Dillard Junior</t>
  </si>
  <si>
    <t>COG Operating LLC</t>
  </si>
  <si>
    <t>600 W Illinois Ave</t>
  </si>
  <si>
    <t>16-742-3123</t>
  </si>
  <si>
    <t>Cog Operating LLC</t>
  </si>
  <si>
    <t>79701-4882</t>
  </si>
  <si>
    <t>Timothy A Leach</t>
  </si>
  <si>
    <t>11-881-9478</t>
  </si>
  <si>
    <t>Conocophillips</t>
  </si>
  <si>
    <t>80-676-5900</t>
  </si>
  <si>
    <t>Concho Resources Inc.</t>
  </si>
  <si>
    <t xml:space="preserve">COG PRODUCTION, LLC                          </t>
  </si>
  <si>
    <t>P.O. Box 2064</t>
  </si>
  <si>
    <t>07-874-3543</t>
  </si>
  <si>
    <t>Cog Production LLC</t>
  </si>
  <si>
    <t>TIM LEACH</t>
  </si>
  <si>
    <t>Motion picture and video production, nsk</t>
  </si>
  <si>
    <t>Motion Picture and Video Production</t>
  </si>
  <si>
    <t>Motion picture and video production</t>
  </si>
  <si>
    <t xml:space="preserve">COLEMAN OIL &amp; GAS INC                        </t>
  </si>
  <si>
    <t>P.O. Drawer 3337</t>
  </si>
  <si>
    <t>00-227-4041</t>
  </si>
  <si>
    <t>Coleman Oil and Gas, Inc.</t>
  </si>
  <si>
    <t>6540 E Main St</t>
  </si>
  <si>
    <t>87402-5122</t>
  </si>
  <si>
    <t>George E Coleman</t>
  </si>
  <si>
    <t xml:space="preserve">COLGATE OPERATING, LLC </t>
  </si>
  <si>
    <t>300 North Marienfeld Street</t>
  </si>
  <si>
    <t>08-041-4866</t>
  </si>
  <si>
    <t>Colgate Operating, LLC</t>
  </si>
  <si>
    <t>306 W Wall St Ste 500</t>
  </si>
  <si>
    <t>79701-5173</t>
  </si>
  <si>
    <t>James Walter</t>
  </si>
  <si>
    <t>Compressor Systems Inc</t>
  </si>
  <si>
    <t>3809 S. FM 1788</t>
  </si>
  <si>
    <t>05-946-8694</t>
  </si>
  <si>
    <t>Compressor Systems, Inc.</t>
  </si>
  <si>
    <t>Csi</t>
  </si>
  <si>
    <t>3809 S FM 1788</t>
  </si>
  <si>
    <t>79706-2662</t>
  </si>
  <si>
    <t>Richard Folger</t>
  </si>
  <si>
    <t>Equipment rental and leasing, nec</t>
  </si>
  <si>
    <t>Equipment Rental and Leasing, Nec</t>
  </si>
  <si>
    <t>Repair Services, Nec</t>
  </si>
  <si>
    <t>Propane equipment rental</t>
  </si>
  <si>
    <t>Industrial equipment services</t>
  </si>
  <si>
    <t>All Other Consumer Goods Rental</t>
  </si>
  <si>
    <t>Commercial and Industrial Machinery and Equipment (except Automotive and Electronic) Repair and Maintenance</t>
  </si>
  <si>
    <t>ConocoPhillips - Midland Office</t>
  </si>
  <si>
    <t>3300 North A Street</t>
  </si>
  <si>
    <t xml:space="preserve">ConocoPhillips </t>
  </si>
  <si>
    <t>935 N Eldridge Pkwy</t>
  </si>
  <si>
    <t>00-136-8265</t>
  </si>
  <si>
    <t>Conocophillips Company</t>
  </si>
  <si>
    <t>925 N Eldridge Pkwy</t>
  </si>
  <si>
    <t>77079-2703</t>
  </si>
  <si>
    <t>Ryan M Lance</t>
  </si>
  <si>
    <t>Petroleum Refining</t>
  </si>
  <si>
    <t>Gas, refinery</t>
  </si>
  <si>
    <t>Petroleum Refineries</t>
  </si>
  <si>
    <t xml:space="preserve">CONOCOPHILLIPS COMPANY                       </t>
  </si>
  <si>
    <t>P.O.Box 2197</t>
  </si>
  <si>
    <t>Continental Resources Inc</t>
  </si>
  <si>
    <t>20 N Broadway</t>
  </si>
  <si>
    <t>07-429-2095</t>
  </si>
  <si>
    <t>Continental Resources, Inc.</t>
  </si>
  <si>
    <t>Continental Resources</t>
  </si>
  <si>
    <t>73102-9213</t>
  </si>
  <si>
    <t>William B Berry</t>
  </si>
  <si>
    <t xml:space="preserve">CONTINENTAL RESOURCES, INC.                  </t>
  </si>
  <si>
    <t>P.O. Box 268870</t>
  </si>
  <si>
    <t xml:space="preserve">Copper Ridge Resources, LLC                  </t>
  </si>
  <si>
    <t>P.O. Box 52543</t>
  </si>
  <si>
    <t>05-168-6351</t>
  </si>
  <si>
    <t>Copper Ridge Resources LLC</t>
  </si>
  <si>
    <t>708 Solomon Ln</t>
  </si>
  <si>
    <t>79705-1923</t>
  </si>
  <si>
    <t>Mark A Burkett</t>
  </si>
  <si>
    <t>Coronado Energy E&amp;P Company, LLC</t>
  </si>
  <si>
    <t>1001 Louisiana Street</t>
  </si>
  <si>
    <t>83-235-6252</t>
  </si>
  <si>
    <t>Coronado Energy E &amp; P Company, L.L.C.</t>
  </si>
  <si>
    <t>1001 Louisiana St</t>
  </si>
  <si>
    <t>77002-5089</t>
  </si>
  <si>
    <t>Brent J Smolik</t>
  </si>
  <si>
    <t>Cotton Draw Midstream LLC</t>
  </si>
  <si>
    <t>333 West Sheridan Ave</t>
  </si>
  <si>
    <t>07-916-8630</t>
  </si>
  <si>
    <t>Devon Midstream Partners, L.P.</t>
  </si>
  <si>
    <t>333 W Sheridan Ave</t>
  </si>
  <si>
    <t>73102-5010</t>
  </si>
  <si>
    <t>DAVE HAGER</t>
  </si>
  <si>
    <t>Investment offices, nec</t>
  </si>
  <si>
    <t>Investment Offices, Nec</t>
  </si>
  <si>
    <t>Other Financial Vehicles</t>
  </si>
  <si>
    <t xml:space="preserve">COULTHURST MGT &amp; INV INC                     </t>
  </si>
  <si>
    <t>1990 Marin Ave</t>
  </si>
  <si>
    <t>Berkeley</t>
  </si>
  <si>
    <t xml:space="preserve">Craft Operating NM LLC                       </t>
  </si>
  <si>
    <t>5726 Winsome Lane</t>
  </si>
  <si>
    <t>Crestwood New Mexico, LLC</t>
  </si>
  <si>
    <t>811 Main Street</t>
  </si>
  <si>
    <t>03-994-9222</t>
  </si>
  <si>
    <t>Crestwood Equity Partners LP</t>
  </si>
  <si>
    <t>Crestwood</t>
  </si>
  <si>
    <t>811 Main St Ste 3400</t>
  </si>
  <si>
    <t>77002-6131</t>
  </si>
  <si>
    <t>Robert G Phillips</t>
  </si>
  <si>
    <t>Petroleum products, nec</t>
  </si>
  <si>
    <t>Petroleum Products, Nec</t>
  </si>
  <si>
    <t>Petroleum and Petroleum Products Merchant Wholesalers (except Bulk Stations and Terminals)</t>
  </si>
  <si>
    <t xml:space="preserve">CROSS BORDER RESOURCES, INC.                 </t>
  </si>
  <si>
    <t>14282 Gillis Road</t>
  </si>
  <si>
    <t>Farmers Branch</t>
  </si>
  <si>
    <t xml:space="preserve">CROSS TIMBERS ENERGY, LLC                    </t>
  </si>
  <si>
    <t>400 West 7th Street</t>
  </si>
  <si>
    <t>AABAAZZ</t>
  </si>
  <si>
    <t>07-889-1250</t>
  </si>
  <si>
    <t>Cross Timbers Energy, LLC</t>
  </si>
  <si>
    <t>400 W 6TH St</t>
  </si>
  <si>
    <t>Timber tracts</t>
  </si>
  <si>
    <t>Timber Tracts</t>
  </si>
  <si>
    <t>Timber Tract Operations</t>
  </si>
  <si>
    <t xml:space="preserve">CROWNQUEST OPERATING, LLC                    </t>
  </si>
  <si>
    <t>P.O. Box 53310</t>
  </si>
  <si>
    <t>09-426-1331</t>
  </si>
  <si>
    <t>Crownquest Operating, LLC</t>
  </si>
  <si>
    <t>18 Desta Dr</t>
  </si>
  <si>
    <t>79705-4507</t>
  </si>
  <si>
    <t>Timothy Dunn</t>
  </si>
  <si>
    <t>D &amp; D Oil Company</t>
  </si>
  <si>
    <t>120 Bridge Ave</t>
  </si>
  <si>
    <t>PO  Box 276</t>
  </si>
  <si>
    <t>Murfreesboro</t>
  </si>
  <si>
    <t>TN</t>
  </si>
  <si>
    <t>96-844-6039</t>
  </si>
  <si>
    <t>D &amp; D Oil Co. Tn, Inc.</t>
  </si>
  <si>
    <t>Tennessee</t>
  </si>
  <si>
    <t>37129-3502</t>
  </si>
  <si>
    <t>DOYLE SCOTT</t>
  </si>
  <si>
    <t>Petroleum bulk stations and terminals,nsk</t>
  </si>
  <si>
    <t>Petroleum Bulk Stations and Terminals</t>
  </si>
  <si>
    <t>Petroleum bulk stations</t>
  </si>
  <si>
    <t xml:space="preserve">D M S OIL CO                                 </t>
  </si>
  <si>
    <t>3000 Wilcrest</t>
  </si>
  <si>
    <t>04-653-1422</t>
  </si>
  <si>
    <t>D M S Oil Company</t>
  </si>
  <si>
    <t>3000 Wilcrest Dr Ste 102</t>
  </si>
  <si>
    <t>77042-3518</t>
  </si>
  <si>
    <t>Douglas M Stewart</t>
  </si>
  <si>
    <t xml:space="preserve">D.W.R. OIL PROPERTIES, INC.                  </t>
  </si>
  <si>
    <t>PO BOX 657</t>
  </si>
  <si>
    <t>Merkel</t>
  </si>
  <si>
    <t xml:space="preserve">DAKOTA RESOURCES INC (I)                     </t>
  </si>
  <si>
    <t>4519 Santa Rosa</t>
  </si>
  <si>
    <t>19-203-5152</t>
  </si>
  <si>
    <t>Dakota Resources, Inc.</t>
  </si>
  <si>
    <t>4519 Santa Rosa Dr</t>
  </si>
  <si>
    <t>79707-2260</t>
  </si>
  <si>
    <t>Chris M Morphew</t>
  </si>
  <si>
    <t xml:space="preserve">DAVID H ARRINGTON OIL &amp; GAS INC              </t>
  </si>
  <si>
    <t>500 W Wall St</t>
  </si>
  <si>
    <t>07-978-7395</t>
  </si>
  <si>
    <t>Arrington Oil &amp; Gas Operating LLC</t>
  </si>
  <si>
    <t>500 W Wall St Ste 300</t>
  </si>
  <si>
    <t>79701-5093</t>
  </si>
  <si>
    <t>DAVID H ARRINGTON</t>
  </si>
  <si>
    <t xml:space="preserve">DAVID R. HINSON                              </t>
  </si>
  <si>
    <t>P.O. Box 3887</t>
  </si>
  <si>
    <t>Davis Gas Processing</t>
  </si>
  <si>
    <t>211 N. Colorado</t>
  </si>
  <si>
    <t>06-015-0745</t>
  </si>
  <si>
    <t>West Texas Gas, Inc.</t>
  </si>
  <si>
    <t>GASCARD</t>
  </si>
  <si>
    <t>211 N Colorado St</t>
  </si>
  <si>
    <t>79701-4607</t>
  </si>
  <si>
    <t>J L Davis</t>
  </si>
  <si>
    <t>Gas Transmission and Distribution</t>
  </si>
  <si>
    <t>Convenience stores</t>
  </si>
  <si>
    <t>Gas transmission and distribution</t>
  </si>
  <si>
    <t>Convenience Stores</t>
  </si>
  <si>
    <t>DCP Operating Company LP</t>
  </si>
  <si>
    <t>10 Desta Drive</t>
  </si>
  <si>
    <t>85-977-6317</t>
  </si>
  <si>
    <t>Mas Operating Co.</t>
  </si>
  <si>
    <t>10 Desta Dr</t>
  </si>
  <si>
    <t>79705-4515</t>
  </si>
  <si>
    <t>Bradley Heiser</t>
  </si>
  <si>
    <t>Delaware Basin Midstream LLC</t>
  </si>
  <si>
    <t>1099 18th Street</t>
  </si>
  <si>
    <t>Delaware G &amp; P, LLC</t>
  </si>
  <si>
    <t>1722 Routh Street</t>
  </si>
  <si>
    <t>10-973-5411</t>
  </si>
  <si>
    <t>Dallas GE Repair</t>
  </si>
  <si>
    <t>1722 Routh St Ste 132</t>
  </si>
  <si>
    <t>75201-2503</t>
  </si>
  <si>
    <t>BUSTER CUEN</t>
  </si>
  <si>
    <t>Electrical repair shops, nsk</t>
  </si>
  <si>
    <t>Electrical Repair Shops</t>
  </si>
  <si>
    <t>Electrical repair shops</t>
  </si>
  <si>
    <t>Appliance Repair and Maintenance</t>
  </si>
  <si>
    <t>Devon Energy Production Company LP</t>
  </si>
  <si>
    <t>333 West Sheridan Avenue</t>
  </si>
  <si>
    <t>08-800-3756</t>
  </si>
  <si>
    <t>Devon Energy Production Company, LP</t>
  </si>
  <si>
    <t>J Larry Nichols</t>
  </si>
  <si>
    <t>Chairperson</t>
  </si>
  <si>
    <t>Crude oil</t>
  </si>
  <si>
    <t>04-940-1565</t>
  </si>
  <si>
    <t>Devon Energy Corporation</t>
  </si>
  <si>
    <t xml:space="preserve">DGP ENERGY, LLC                              </t>
  </si>
  <si>
    <t>2323 S Shepherd Dr.</t>
  </si>
  <si>
    <t>03-336-9453</t>
  </si>
  <si>
    <t>Rbn Energy, L.L.C.</t>
  </si>
  <si>
    <t>2323 S Shepherd Dr Ste 1010</t>
  </si>
  <si>
    <t>77019-7024</t>
  </si>
  <si>
    <t>Edward Russell Braziel</t>
  </si>
  <si>
    <t>Energy conservation consultant</t>
  </si>
  <si>
    <t>Other Scientific and Technical Consulting Services</t>
  </si>
  <si>
    <t xml:space="preserve">Diamond In The Rough LLC                     </t>
  </si>
  <si>
    <t>1406 Spruce Lane</t>
  </si>
  <si>
    <t xml:space="preserve">DINERO OPERATING CO                          </t>
  </si>
  <si>
    <t>P.O. Box 10505</t>
  </si>
  <si>
    <t>03-789-8962</t>
  </si>
  <si>
    <t>Dinero Inc</t>
  </si>
  <si>
    <t>Dinero Operating Co</t>
  </si>
  <si>
    <t>1004 N Big Spring St Ste 500</t>
  </si>
  <si>
    <t>79701-3357</t>
  </si>
  <si>
    <t>Russell</t>
  </si>
  <si>
    <t>Russell J Ramsland Senior</t>
  </si>
  <si>
    <t>DJR Operating LLC - Denver</t>
  </si>
  <si>
    <t>1600 N Broadway</t>
  </si>
  <si>
    <t>11-265-8503</t>
  </si>
  <si>
    <t>Djr Operating, LLC</t>
  </si>
  <si>
    <t>1960 Broadway</t>
  </si>
  <si>
    <t>80202-3817</t>
  </si>
  <si>
    <t>DJR Operating LLC - NM</t>
  </si>
  <si>
    <t>1 Road 3263</t>
  </si>
  <si>
    <t>09-048-1539</t>
  </si>
  <si>
    <t>Djr Operating LLC</t>
  </si>
  <si>
    <t>87410-9521</t>
  </si>
  <si>
    <t>DAVID H LEHMAN</t>
  </si>
  <si>
    <t xml:space="preserve">DKD,LLC                                      </t>
  </si>
  <si>
    <t>718 West Broadway</t>
  </si>
  <si>
    <t>P.O. Box 682</t>
  </si>
  <si>
    <t>Tatum</t>
  </si>
  <si>
    <t>DLK Black River Midstream, LLC</t>
  </si>
  <si>
    <t>5400 LBJ Freeway</t>
  </si>
  <si>
    <t>BAFAAZZ</t>
  </si>
  <si>
    <t>08-095-4440</t>
  </si>
  <si>
    <t>Dlk Wolf Midstream, LLC</t>
  </si>
  <si>
    <t>5400 Lyndon B Johnson Fwy Ste 1500</t>
  </si>
  <si>
    <t>75240-1017</t>
  </si>
  <si>
    <t xml:space="preserve">DOMINION PRODUCTION COMPANY, LLC             </t>
  </si>
  <si>
    <t>1414 W Swann Avenue</t>
  </si>
  <si>
    <t>Tampa</t>
  </si>
  <si>
    <t>FL</t>
  </si>
  <si>
    <t>07-926-3841</t>
  </si>
  <si>
    <t>Dominion Production Company LLC</t>
  </si>
  <si>
    <t>1414 W Swann Ave Ste 100</t>
  </si>
  <si>
    <t>Florida</t>
  </si>
  <si>
    <t>33606-2590</t>
  </si>
  <si>
    <t>David Burns</t>
  </si>
  <si>
    <t xml:space="preserve">DRIFTWOOD OIL, LLC                           </t>
  </si>
  <si>
    <t>Dugan Production Corp</t>
  </si>
  <si>
    <t>PO Box 420</t>
  </si>
  <si>
    <t>03-573-8160</t>
  </si>
  <si>
    <t>Dugan Production Corp.</t>
  </si>
  <si>
    <t>709 E Murray Dr</t>
  </si>
  <si>
    <t>87401-6649</t>
  </si>
  <si>
    <t>THOMAS DUGAN</t>
  </si>
  <si>
    <t xml:space="preserve">DUGAN PRODUCTION CORP                        </t>
  </si>
  <si>
    <t>709 E Murray Drive</t>
  </si>
  <si>
    <t xml:space="preserve">DWIGHT A TIPTON                              </t>
  </si>
  <si>
    <t xml:space="preserve">DYAD PETROLEUM COMPANY                       </t>
  </si>
  <si>
    <t>306 W Wall</t>
  </si>
  <si>
    <t>02-193-4682</t>
  </si>
  <si>
    <t>Dyad Petroleum Company</t>
  </si>
  <si>
    <t>Tom Dyches</t>
  </si>
  <si>
    <t xml:space="preserve">E G L RESOURCES INC                          </t>
  </si>
  <si>
    <t>P.O. Box 10886</t>
  </si>
  <si>
    <t>05-325-2982</t>
  </si>
  <si>
    <t>E.G.l Resources Inc.</t>
  </si>
  <si>
    <t>223 W Wall St Ste 900</t>
  </si>
  <si>
    <t>79701-4567</t>
  </si>
  <si>
    <t>W Wesley Perry</t>
  </si>
  <si>
    <t xml:space="preserve">EASTLAND OIL CO                              </t>
  </si>
  <si>
    <t>P.O. Box 3488</t>
  </si>
  <si>
    <t>00-482-2052</t>
  </si>
  <si>
    <t>The Eastland Oil Co</t>
  </si>
  <si>
    <t>Eastland Resources</t>
  </si>
  <si>
    <t>415 W Wall St Ste 1415</t>
  </si>
  <si>
    <t>79701-4437</t>
  </si>
  <si>
    <t>ROBERT R DONNELLY</t>
  </si>
  <si>
    <t>El Paso Field Services</t>
  </si>
  <si>
    <t xml:space="preserve">3300 North  A  Street </t>
  </si>
  <si>
    <t>82-807-4398</t>
  </si>
  <si>
    <t>Ranger Field Services Inc</t>
  </si>
  <si>
    <t>3300 N A St Ste 250</t>
  </si>
  <si>
    <t>79705-5421</t>
  </si>
  <si>
    <t>James C Mann</t>
  </si>
  <si>
    <t>Business management</t>
  </si>
  <si>
    <t>El Paso Natural Gas Company, L.L.C.</t>
  </si>
  <si>
    <t>2 North Nevada Avenue</t>
  </si>
  <si>
    <t>Colorado Springs</t>
  </si>
  <si>
    <t>14-367-5200</t>
  </si>
  <si>
    <t>El Paso Western Pipeline</t>
  </si>
  <si>
    <t>2 N Nevada Ave Ste 1400</t>
  </si>
  <si>
    <t>80903-1700</t>
  </si>
  <si>
    <t>Jim Cleary</t>
  </si>
  <si>
    <t>Natural gas transmission</t>
  </si>
  <si>
    <t>Natural Gas Transmission</t>
  </si>
  <si>
    <t>Pipeline Transportation of Natural Gas</t>
  </si>
  <si>
    <t>80-040-8192</t>
  </si>
  <si>
    <t>Kinder Morgan Inc</t>
  </si>
  <si>
    <t>00-800-1703</t>
  </si>
  <si>
    <t xml:space="preserve"> Elm Ridge Exploration Co.</t>
  </si>
  <si>
    <t>PO Box 156</t>
  </si>
  <si>
    <t>Bloomfield</t>
  </si>
  <si>
    <t>Encana Oil &amp; Gas (USA) Inc</t>
  </si>
  <si>
    <t>370 17th Street</t>
  </si>
  <si>
    <t>AFAAAZZ</t>
  </si>
  <si>
    <t>83-227-6240</t>
  </si>
  <si>
    <t>Retex Inc.</t>
  </si>
  <si>
    <t>Encana Oil and Gas</t>
  </si>
  <si>
    <t>555 17TH St Ste 1850</t>
  </si>
  <si>
    <t>80202-3950</t>
  </si>
  <si>
    <t>Peter Scherer</t>
  </si>
  <si>
    <t xml:space="preserve">ENDEAVOR ENERGY RESOURCES, LP                </t>
  </si>
  <si>
    <t>110 North Marienfeld</t>
  </si>
  <si>
    <t>06-212-2114</t>
  </si>
  <si>
    <t>Endeavor Energy Resources, L.P.</t>
  </si>
  <si>
    <t>110 N Marienfeld St Ste 200</t>
  </si>
  <si>
    <t>79701-4412</t>
  </si>
  <si>
    <t>Autry C Stephens</t>
  </si>
  <si>
    <t xml:space="preserve">ENDURA ENERGY LLC                            </t>
  </si>
  <si>
    <t>513 E Zia</t>
  </si>
  <si>
    <t>19-328-1693</t>
  </si>
  <si>
    <t>Endura Energy</t>
  </si>
  <si>
    <t>513 E Zia Dr</t>
  </si>
  <si>
    <t>88240-3430</t>
  </si>
  <si>
    <t>ERNIE L HEGWER</t>
  </si>
  <si>
    <t xml:space="preserve">ENDURING RESOURCES, LLC                      </t>
  </si>
  <si>
    <t xml:space="preserve">1050 17TH STREET, </t>
  </si>
  <si>
    <t>DENVER</t>
  </si>
  <si>
    <t>17-420-5505</t>
  </si>
  <si>
    <t>Enduring Resources, LLC</t>
  </si>
  <si>
    <t>1050 17TH St Ste 2500</t>
  </si>
  <si>
    <t>80265-2080</t>
  </si>
  <si>
    <t>Barth E Whitham</t>
  </si>
  <si>
    <t>Operative builders, nsk</t>
  </si>
  <si>
    <t>Operative Builders</t>
  </si>
  <si>
    <t>Operative builders</t>
  </si>
  <si>
    <t>New Housing For-Sale Builders</t>
  </si>
  <si>
    <t xml:space="preserve">ENERDYNE, LLC                                </t>
  </si>
  <si>
    <t>P.O. Box 502</t>
  </si>
  <si>
    <t>Albuquerque</t>
  </si>
  <si>
    <t>84-083-9992</t>
  </si>
  <si>
    <t>Enerdyne LLC</t>
  </si>
  <si>
    <t>12814 Central Ave SE</t>
  </si>
  <si>
    <t>87123-3026</t>
  </si>
  <si>
    <t>Don L Hanosh</t>
  </si>
  <si>
    <t>Energen Resources</t>
  </si>
  <si>
    <t>2010 Afton Place</t>
  </si>
  <si>
    <t>11-651-1007</t>
  </si>
  <si>
    <t>Energen Resources Corporation</t>
  </si>
  <si>
    <t>Energen</t>
  </si>
  <si>
    <t>2010 Afton Pl</t>
  </si>
  <si>
    <t>87401-1601</t>
  </si>
  <si>
    <t>James T Mc Manus II</t>
  </si>
  <si>
    <t>07-853-6538</t>
  </si>
  <si>
    <t>Diamondback Energy, Inc.</t>
  </si>
  <si>
    <t>09-570-6032</t>
  </si>
  <si>
    <t>Energen Corporation</t>
  </si>
  <si>
    <t xml:space="preserve">ENERGEN RESOURCES CORPORATION                </t>
  </si>
  <si>
    <t>3510 N A St</t>
  </si>
  <si>
    <t>04-731-6166</t>
  </si>
  <si>
    <t>3300 N A St Bldg 4</t>
  </si>
  <si>
    <t>JOE NIEDERHOFER</t>
  </si>
  <si>
    <t>14-787-1420</t>
  </si>
  <si>
    <t>AL</t>
  </si>
  <si>
    <t xml:space="preserve">ENERGEX, LLC                                 </t>
  </si>
  <si>
    <t>4425 98th</t>
  </si>
  <si>
    <t>Lubbock</t>
  </si>
  <si>
    <t>Energy Transfer Company</t>
  </si>
  <si>
    <t>8111 Westchester Dr</t>
  </si>
  <si>
    <t>00-478-8188</t>
  </si>
  <si>
    <t>Houston Pipe Line Company LP</t>
  </si>
  <si>
    <t>Houston Pipe Line</t>
  </si>
  <si>
    <t>75225-6140</t>
  </si>
  <si>
    <t>Kelcy L Warren</t>
  </si>
  <si>
    <t>Pipelines, natural gas</t>
  </si>
  <si>
    <t>61-079-2264</t>
  </si>
  <si>
    <t>Energy Transfer LP</t>
  </si>
  <si>
    <t>06-471-7981</t>
  </si>
  <si>
    <t>Energy Transfer Operating, L.P.</t>
  </si>
  <si>
    <t xml:space="preserve">ENERGYQUEST II, LLC                          </t>
  </si>
  <si>
    <t>4526 Research Forest Dr.</t>
  </si>
  <si>
    <t>01-234-4905</t>
  </si>
  <si>
    <t>Energyquest II, LLC</t>
  </si>
  <si>
    <t>4526 Research Forest Dr Ste 200</t>
  </si>
  <si>
    <t>77381-4079</t>
  </si>
  <si>
    <t>Wayne Greenwalt</t>
  </si>
  <si>
    <t xml:space="preserve">ENERVEST OPERATING L.L.C.                    </t>
  </si>
  <si>
    <t>1001 Fannin Street</t>
  </si>
  <si>
    <t>92-902-2069</t>
  </si>
  <si>
    <t>Enervest Operating, L.L.C.</t>
  </si>
  <si>
    <t>1001 Fannin St Ste 800</t>
  </si>
  <si>
    <t>77002-6707</t>
  </si>
  <si>
    <t>JOHN B WALKER</t>
  </si>
  <si>
    <t>83-214-4422</t>
  </si>
  <si>
    <t>Enervest, Ltd.</t>
  </si>
  <si>
    <t>EnLink Delaware Crude Pipeline LLC</t>
  </si>
  <si>
    <t>11-709-3002</t>
  </si>
  <si>
    <t>Enlink Crude Pipeline, LLC</t>
  </si>
  <si>
    <t>1722 Routh St Ste 1300</t>
  </si>
  <si>
    <t>75201-2502</t>
  </si>
  <si>
    <t>07-926-8238</t>
  </si>
  <si>
    <t>Enlink Midstream, LLC</t>
  </si>
  <si>
    <t>87-863-6729</t>
  </si>
  <si>
    <t>Enlink Midstream Partners, LP</t>
  </si>
  <si>
    <t>Enron Corporation</t>
  </si>
  <si>
    <t>P.O. Box 1188</t>
  </si>
  <si>
    <t>02-599-0925</t>
  </si>
  <si>
    <t>Enron Equity Corp</t>
  </si>
  <si>
    <t>Enron</t>
  </si>
  <si>
    <t>1400 Smith St</t>
  </si>
  <si>
    <t>77002-7327</t>
  </si>
  <si>
    <t>Mark Palmer</t>
  </si>
  <si>
    <t>Enstor Operating Company LLC</t>
  </si>
  <si>
    <t>10375 Richmond Ave</t>
  </si>
  <si>
    <t>05-958-0108</t>
  </si>
  <si>
    <t>Enstor, LLC</t>
  </si>
  <si>
    <t>10375 Richmond Ave Ste 1900</t>
  </si>
  <si>
    <t>77042-4222</t>
  </si>
  <si>
    <t>P Bieniawski</t>
  </si>
  <si>
    <t>Transportation services, nec, nsk</t>
  </si>
  <si>
    <t>Transportation Services, Nec</t>
  </si>
  <si>
    <t>Transportation services, nec</t>
  </si>
  <si>
    <t>All Other Support Activities for Transportation</t>
  </si>
  <si>
    <t xml:space="preserve">Enterprise Field Services, LLC </t>
  </si>
  <si>
    <t>PO Box 4324</t>
  </si>
  <si>
    <t>13-547-6534</t>
  </si>
  <si>
    <t>Enterprise Field Services, LLC</t>
  </si>
  <si>
    <t>1100 Louisiana St FL 14</t>
  </si>
  <si>
    <t>77002-5427</t>
  </si>
  <si>
    <t>Michael A Creel</t>
  </si>
  <si>
    <t>Heavy construction, nec, nsk</t>
  </si>
  <si>
    <t>Heavy Construction, Nec</t>
  </si>
  <si>
    <t>Oil refinery construction</t>
  </si>
  <si>
    <t>02-795-3129</t>
  </si>
  <si>
    <t>Enterprise Products Partners L.P.</t>
  </si>
  <si>
    <t>EOG Resources Inc - Midland Division</t>
  </si>
  <si>
    <t>5509 Champions Drive</t>
  </si>
  <si>
    <t>16-144-8436</t>
  </si>
  <si>
    <t>Eog Resources, Inc.</t>
  </si>
  <si>
    <t>5509 Champions Dr</t>
  </si>
  <si>
    <t>79706-2843</t>
  </si>
  <si>
    <t>18-683-0733</t>
  </si>
  <si>
    <t xml:space="preserve">EOG RESOURCES INC                            </t>
  </si>
  <si>
    <t>P.O. Box 2267</t>
  </si>
  <si>
    <t>02-207-8806</t>
  </si>
  <si>
    <t>Eog Resources</t>
  </si>
  <si>
    <t>5023 Princeton Ave</t>
  </si>
  <si>
    <t>79703-4501</t>
  </si>
  <si>
    <t>WILLIAM THOMAS</t>
  </si>
  <si>
    <t>EOG Resources Inc - Artesia Division</t>
  </si>
  <si>
    <t>105 S 4th Street</t>
  </si>
  <si>
    <t>00-778-5728</t>
  </si>
  <si>
    <t>Y Eog Resources Inc</t>
  </si>
  <si>
    <t>105 S 4TH St</t>
  </si>
  <si>
    <t>88210-2177</t>
  </si>
  <si>
    <t>William Thomas</t>
  </si>
  <si>
    <t xml:space="preserve">EOR OPERATING COMPANY                        </t>
  </si>
  <si>
    <t>575 N. Dairy Ashford</t>
  </si>
  <si>
    <t>61-536-9753</t>
  </si>
  <si>
    <t>Silverbow Resources Operating, LLC</t>
  </si>
  <si>
    <t>575 N Dairy Ashford Rd Ste 210</t>
  </si>
  <si>
    <t>77079-1121</t>
  </si>
  <si>
    <t>Terry E Swift</t>
  </si>
  <si>
    <t>02-147-1529</t>
  </si>
  <si>
    <t>Silverbow Resources, Inc.</t>
  </si>
  <si>
    <t xml:space="preserve">EPIC ENERGY, L.L.C.                          </t>
  </si>
  <si>
    <t>7415 E Main St</t>
  </si>
  <si>
    <t xml:space="preserve">ERNMAR INVESTMENTS, INC.                     </t>
  </si>
  <si>
    <t>P.O. Box 6492</t>
  </si>
  <si>
    <t>Edmond</t>
  </si>
  <si>
    <t>00-215-7076</t>
  </si>
  <si>
    <t>Ernmar Investments Inc</t>
  </si>
  <si>
    <t>3005 Talon Rd</t>
  </si>
  <si>
    <t>73013-7409</t>
  </si>
  <si>
    <t>Ernest Buttross Senior</t>
  </si>
  <si>
    <t>ETC Texas Pipeline LTD</t>
  </si>
  <si>
    <t>96-788-3752</t>
  </si>
  <si>
    <t>E T C Company</t>
  </si>
  <si>
    <t>8111 Westchester Dr Ste 600</t>
  </si>
  <si>
    <t>75225-6142</t>
  </si>
  <si>
    <t>Kelcy Warren</t>
  </si>
  <si>
    <t xml:space="preserve">ETL HYDROCARBONS INC                         </t>
  </si>
  <si>
    <t>P.O. Box 1413</t>
  </si>
  <si>
    <t>19-714-4561</t>
  </si>
  <si>
    <t>Etl Hydrocarbons, Inc</t>
  </si>
  <si>
    <t>922 NE Avenue F</t>
  </si>
  <si>
    <t>79714-3807</t>
  </si>
  <si>
    <t>tim thorton</t>
  </si>
  <si>
    <t>Evergreen Resources</t>
  </si>
  <si>
    <t>128 S. Tryon St.</t>
  </si>
  <si>
    <t>Charlotte</t>
  </si>
  <si>
    <t>NC</t>
  </si>
  <si>
    <t xml:space="preserve">EVERQUEST ENERGY CORPORATION                 </t>
  </si>
  <si>
    <t>532 Cool Water Ranch Rd.</t>
  </si>
  <si>
    <t>Fredericksburg</t>
  </si>
  <si>
    <t>08-659-3228</t>
  </si>
  <si>
    <t>Everquest Energy Corporation</t>
  </si>
  <si>
    <t>532 Cool Water Ranch Rd</t>
  </si>
  <si>
    <t>78624-2149</t>
  </si>
  <si>
    <t>SUSAN L DUFFEY</t>
  </si>
  <si>
    <t>Director</t>
  </si>
  <si>
    <t>Electric services, nsk</t>
  </si>
  <si>
    <t>Electric Services</t>
  </si>
  <si>
    <t>Electric services</t>
  </si>
  <si>
    <t>Other Electric Power Generation</t>
  </si>
  <si>
    <t>Exterran Energy Solutions, LP</t>
  </si>
  <si>
    <t>16666 Northchase Drive</t>
  </si>
  <si>
    <t>05-109-9141</t>
  </si>
  <si>
    <t>Exterran, Inc.</t>
  </si>
  <si>
    <t>16666 Northchase Dr</t>
  </si>
  <si>
    <t>77060-6014</t>
  </si>
  <si>
    <t>D Bradley Childers</t>
  </si>
  <si>
    <t>Heavy construction equipment rental, nsk</t>
  </si>
  <si>
    <t>Heavy Construction Equipment Rental</t>
  </si>
  <si>
    <t>Industrial Machinery and Equipment</t>
  </si>
  <si>
    <t>Oil equipment rental services</t>
  </si>
  <si>
    <t>Petroleum industry machinery</t>
  </si>
  <si>
    <t>Construction, Mining, and Forestry Machinery and Equipment Rental and Leasing</t>
  </si>
  <si>
    <t>Industrial Machinery and Equipment Merchant Wholesalers</t>
  </si>
  <si>
    <t xml:space="preserve">FAE II Operating LLC                         </t>
  </si>
  <si>
    <t>11757 Katy Freeway</t>
  </si>
  <si>
    <t xml:space="preserve">FAIR OIL LTD                                 </t>
  </si>
  <si>
    <t>P.O. Box 689</t>
  </si>
  <si>
    <t>Tyler</t>
  </si>
  <si>
    <t>07-509-2221</t>
  </si>
  <si>
    <t>Fair Oil Company of Texas</t>
  </si>
  <si>
    <t>225 S College Ave</t>
  </si>
  <si>
    <t>75702-7378</t>
  </si>
  <si>
    <t>John R Garrett</t>
  </si>
  <si>
    <t xml:space="preserve">FAITH TRADING, LLC                           </t>
  </si>
  <si>
    <t>P.O. Box 2140</t>
  </si>
  <si>
    <t>Lovington</t>
  </si>
  <si>
    <t xml:space="preserve">FASKEN OIL &amp; RANCH LTD                       </t>
  </si>
  <si>
    <t>6101 Holiday Hill Road</t>
  </si>
  <si>
    <t>06-885-8778</t>
  </si>
  <si>
    <t>Fasken Oil and Ranch, Ltd.</t>
  </si>
  <si>
    <t>6101 Holiday Hill Rd</t>
  </si>
  <si>
    <t>79707-1631</t>
  </si>
  <si>
    <t>BENJAMIN BLAKE</t>
  </si>
  <si>
    <t>Real property lessors, nec, nsk</t>
  </si>
  <si>
    <t>Real Property Lessors, Nec</t>
  </si>
  <si>
    <t>Real property lessors, nec</t>
  </si>
  <si>
    <t>Lessors of Other Real Estate Property</t>
  </si>
  <si>
    <t xml:space="preserve">FBS OPERATING COMPANY, LLC                   </t>
  </si>
  <si>
    <t>8235 Douglas Avenue</t>
  </si>
  <si>
    <t>19-184-9749</t>
  </si>
  <si>
    <t>Dansk Operating, L.L.C.</t>
  </si>
  <si>
    <t>8235 Douglas Ave Ste 1200</t>
  </si>
  <si>
    <t>75225-6023</t>
  </si>
  <si>
    <t>ERIC B DAUGBJERG</t>
  </si>
  <si>
    <t xml:space="preserve">FDL Operating, LLC                           </t>
  </si>
  <si>
    <t>5221 N. O'Connor Blvd.</t>
  </si>
  <si>
    <t>Irving</t>
  </si>
  <si>
    <t>07-981-2644</t>
  </si>
  <si>
    <t>FDL Operating, LLC</t>
  </si>
  <si>
    <t>5221 N O Connor Blvd Ste 1100</t>
  </si>
  <si>
    <t>75039-3788</t>
  </si>
  <si>
    <t>Porter Trimble</t>
  </si>
  <si>
    <t>Oil and gas wells: building, repairing and dismantling</t>
  </si>
  <si>
    <t>Feagan Gathering</t>
  </si>
  <si>
    <t>PO Box 50307</t>
  </si>
  <si>
    <t>02-193-3171</t>
  </si>
  <si>
    <t>Feagan Energy, Inc.</t>
  </si>
  <si>
    <t>24 Smith Rd</t>
  </si>
  <si>
    <t>79705-4403</t>
  </si>
  <si>
    <t>Mike Feagan</t>
  </si>
  <si>
    <t>Business services, nec, nsk</t>
  </si>
  <si>
    <t>Business Services, Nec</t>
  </si>
  <si>
    <t>Personal service agents, brokers, and bureaus</t>
  </si>
  <si>
    <t>All Other Business Support Services</t>
  </si>
  <si>
    <t xml:space="preserve">FINLEY RESOURCES INC                         </t>
  </si>
  <si>
    <t>1308 Lake Street</t>
  </si>
  <si>
    <t>07-861-0768</t>
  </si>
  <si>
    <t>Finley Resources Inc.</t>
  </si>
  <si>
    <t>Finley Production Company</t>
  </si>
  <si>
    <t>1308 Lake St Ste 200</t>
  </si>
  <si>
    <t>76102-4505</t>
  </si>
  <si>
    <t>Jim Finley</t>
  </si>
  <si>
    <t xml:space="preserve">FINNEY OIL COMPANY                           </t>
  </si>
  <si>
    <t>P.O. Box 1569</t>
  </si>
  <si>
    <t xml:space="preserve">Flint Oak Energy, LLC                        </t>
  </si>
  <si>
    <t>1703 Westfield Loop Rd</t>
  </si>
  <si>
    <t>96-801-7520</t>
  </si>
  <si>
    <t>Oak Flint Energy LLC</t>
  </si>
  <si>
    <t>77073-2705</t>
  </si>
  <si>
    <t>Royce Carrigan</t>
  </si>
  <si>
    <t>Petroleum refining</t>
  </si>
  <si>
    <t>Fluid Compressor Partners</t>
  </si>
  <si>
    <t>PO Box 2770</t>
  </si>
  <si>
    <t xml:space="preserve">FORTY ACRES ENERGY, LLC                      </t>
  </si>
  <si>
    <t>11757 Katy Frwy</t>
  </si>
  <si>
    <t>08-043-5843</t>
  </si>
  <si>
    <t>Forty Acres Energy LLC</t>
  </si>
  <si>
    <t>11777B Katy Fwy Ste 305B</t>
  </si>
  <si>
    <t>77079-1751</t>
  </si>
  <si>
    <t>Huxley K Song</t>
  </si>
  <si>
    <t xml:space="preserve">FOUNDATION ENERGY MANAGEMENT, LLC            </t>
  </si>
  <si>
    <t>5057 KELLER SPRINGS RD</t>
  </si>
  <si>
    <t>ADDISON</t>
  </si>
  <si>
    <t>79-137-8586</t>
  </si>
  <si>
    <t>Foundation Energy Management, L.L.C.</t>
  </si>
  <si>
    <t>5057 Keller Springs Rd Ste 600</t>
  </si>
  <si>
    <t>Addison</t>
  </si>
  <si>
    <t>75001-6352</t>
  </si>
  <si>
    <t>Eddie W Reha</t>
  </si>
  <si>
    <t xml:space="preserve">FOUR CORNERS EXPLORATION CO                  </t>
  </si>
  <si>
    <t>P.O. Box 1469</t>
  </si>
  <si>
    <t xml:space="preserve">FOUR STARR PRODUCTION, LLC                   </t>
  </si>
  <si>
    <t>11886 Greenville Ave</t>
  </si>
  <si>
    <t>06-651-7818</t>
  </si>
  <si>
    <t>Four Starr Energy, Inc.</t>
  </si>
  <si>
    <t>11886 Greenville Ave Ste 106</t>
  </si>
  <si>
    <t>75243-3569</t>
  </si>
  <si>
    <t>STEVEN M BURR</t>
  </si>
  <si>
    <t>Generation, electric power</t>
  </si>
  <si>
    <t xml:space="preserve">Franklin Mountain Energy LLC                 </t>
  </si>
  <si>
    <t>44 Cook Street</t>
  </si>
  <si>
    <t>11-732-9512</t>
  </si>
  <si>
    <t>Franklin Mountain Energy, LLC</t>
  </si>
  <si>
    <t>44 Cook St Ste 1000</t>
  </si>
  <si>
    <t>80206-5827</t>
  </si>
  <si>
    <t>Paul Foster</t>
  </si>
  <si>
    <t>Energy conservation engineering</t>
  </si>
  <si>
    <t xml:space="preserve">FREEDOM ENERGY LLC                           </t>
  </si>
  <si>
    <t>R649 N 13th Street</t>
  </si>
  <si>
    <t>Lake Arthur</t>
  </si>
  <si>
    <t>Frontier Field Services LLC</t>
  </si>
  <si>
    <t>10077 Grogans Mill Rd</t>
  </si>
  <si>
    <t xml:space="preserve">FULFER OIL &amp; CATTLE LLC                      </t>
  </si>
  <si>
    <t>P.O. Box 1224</t>
  </si>
  <si>
    <t>Jal</t>
  </si>
  <si>
    <t>80-761-3935</t>
  </si>
  <si>
    <t>Fulfer Oil &amp; Cattle Company, L.L.C.</t>
  </si>
  <si>
    <t>211 S 9TH St</t>
  </si>
  <si>
    <t>Greg Fulfer</t>
  </si>
  <si>
    <t>Livestock, nsk</t>
  </si>
  <si>
    <t>Livestock</t>
  </si>
  <si>
    <t>Cattle</t>
  </si>
  <si>
    <t>Livestock Merchant Wholesalers</t>
  </si>
  <si>
    <t xml:space="preserve">FULTON ENTERPRISES                           </t>
  </si>
  <si>
    <t>10-403-4758</t>
  </si>
  <si>
    <t>Fulton Enterprises</t>
  </si>
  <si>
    <t>11260 Lovington Hwy</t>
  </si>
  <si>
    <t>88210-9605</t>
  </si>
  <si>
    <t>Business services, nec</t>
  </si>
  <si>
    <t>Gas Co Of Nm</t>
  </si>
  <si>
    <t>PO Box 1899</t>
  </si>
  <si>
    <t>07-576-5438</t>
  </si>
  <si>
    <t>Public Service Company of New Mexico</t>
  </si>
  <si>
    <t>Gas Co of New Mexico</t>
  </si>
  <si>
    <t>2 1/2 MI SE OF Town</t>
  </si>
  <si>
    <t>John Renner</t>
  </si>
  <si>
    <t>Genesis Crude Oil LP</t>
  </si>
  <si>
    <t>500 Dallas Ave</t>
  </si>
  <si>
    <t>02-743-9493</t>
  </si>
  <si>
    <t>Genesis Energy, L.P.</t>
  </si>
  <si>
    <t>500 Dallas St Ste 2500</t>
  </si>
  <si>
    <t>77002-4708</t>
  </si>
  <si>
    <t>Crude petroleum pipelines</t>
  </si>
  <si>
    <t>Crude Petroleum Pipelines</t>
  </si>
  <si>
    <t>Pipeline Transportation of Crude Oil</t>
  </si>
  <si>
    <t>96-296-5406</t>
  </si>
  <si>
    <t xml:space="preserve">GEORGE A CHASE JR DBA G AND C SERVICE        </t>
  </si>
  <si>
    <t>P.O. Box 1618</t>
  </si>
  <si>
    <t xml:space="preserve">GERALD F ROACH                               </t>
  </si>
  <si>
    <t>Global Compressor Services</t>
  </si>
  <si>
    <t>5800 Skelly Dr</t>
  </si>
  <si>
    <t xml:space="preserve">GOLDEN OIL HOLDING CORPORATION               </t>
  </si>
  <si>
    <t>2000 Bering Drive</t>
  </si>
  <si>
    <t>08-115-6111</t>
  </si>
  <si>
    <t>Golden Oil Holding Corporation</t>
  </si>
  <si>
    <t>2000 Bering Dr Ste 255</t>
  </si>
  <si>
    <t>77057-3730</t>
  </si>
  <si>
    <t>Ralph T McElvenny Junior</t>
  </si>
  <si>
    <t>Holding companies, nec, nsk</t>
  </si>
  <si>
    <t>Holding Companies, Nec</t>
  </si>
  <si>
    <t>Holding companies, nec</t>
  </si>
  <si>
    <t>Offices of Other Holding Companies</t>
  </si>
  <si>
    <t xml:space="preserve">GP II ENERGY INC                             </t>
  </si>
  <si>
    <t>PO Drawer 53507</t>
  </si>
  <si>
    <t>01-943-7034</t>
  </si>
  <si>
    <t>GP II Energy, Inc.</t>
  </si>
  <si>
    <t>113 Corporate Dr</t>
  </si>
  <si>
    <t>79705-2105</t>
  </si>
  <si>
    <t>GEORGE MITCHELL II</t>
  </si>
  <si>
    <t xml:space="preserve">GRAND BANKS ENERGY CO                        </t>
  </si>
  <si>
    <t>08-748-7690</t>
  </si>
  <si>
    <t>Grand Banks Energy Company</t>
  </si>
  <si>
    <t>10 Desta Dr Ste 300E</t>
  </si>
  <si>
    <t>79705-4522</t>
  </si>
  <si>
    <t>John Kimberly</t>
  </si>
  <si>
    <t xml:space="preserve">GREAT WESTERN DRILLING CO                    </t>
  </si>
  <si>
    <t>P.O. Box 1659</t>
  </si>
  <si>
    <t>00-793-4664</t>
  </si>
  <si>
    <t>Great Western Drilling Company</t>
  </si>
  <si>
    <t>700 W Louisiana Ave</t>
  </si>
  <si>
    <t>79701-3249</t>
  </si>
  <si>
    <t>Kenneth W Davis Junior</t>
  </si>
  <si>
    <t>Grizzly Operating LLC</t>
  </si>
  <si>
    <t>5847 San Felipe</t>
  </si>
  <si>
    <t>07-956-3814</t>
  </si>
  <si>
    <t>Grizzly Operating, LLC</t>
  </si>
  <si>
    <t>5847 San Felipe St Ste 3000</t>
  </si>
  <si>
    <t>77057-3399</t>
  </si>
  <si>
    <t>08-053-2998</t>
  </si>
  <si>
    <t>Grizzly Energy, LLC</t>
  </si>
  <si>
    <t xml:space="preserve">GULF EXPLORATION, L.L.C.                     </t>
  </si>
  <si>
    <t>9701 N Broadway Ext</t>
  </si>
  <si>
    <t>55-593-2995</t>
  </si>
  <si>
    <t>Gulf Exploration, L.L.C.</t>
  </si>
  <si>
    <t>9701 Broadway EXT</t>
  </si>
  <si>
    <t>73114-6316</t>
  </si>
  <si>
    <t>William pat Garrett</t>
  </si>
  <si>
    <t>Oil Royalty Traders</t>
  </si>
  <si>
    <t>Oil leases, buying and selling on own account</t>
  </si>
  <si>
    <t>Lessors of Nonfinancial Intangible Assets (except Copyrighted Works)</t>
  </si>
  <si>
    <t xml:space="preserve">GVC VENTURES                                 </t>
  </si>
  <si>
    <t>P.O. Box 59</t>
  </si>
  <si>
    <t>Mineola</t>
  </si>
  <si>
    <t xml:space="preserve">H K KEESEE AND C J KEESEE TRUST              </t>
  </si>
  <si>
    <t xml:space="preserve">H L BROWN OPERATING, LLC                     </t>
  </si>
  <si>
    <t>P.O. Box 2237</t>
  </si>
  <si>
    <t>82-486-2114</t>
  </si>
  <si>
    <t>Hl Brown Operating LLC</t>
  </si>
  <si>
    <t>Herbert L Brown Industries</t>
  </si>
  <si>
    <t>300 W Louisiana Ave</t>
  </si>
  <si>
    <t>79701-3401</t>
  </si>
  <si>
    <t>Hubert L Brown Junior</t>
  </si>
  <si>
    <t xml:space="preserve">HANSON OPERATING CO INC                      </t>
  </si>
  <si>
    <t>P.O. Box 1515</t>
  </si>
  <si>
    <t>14-726-1796</t>
  </si>
  <si>
    <t>Hanson Operating Company, Inc.</t>
  </si>
  <si>
    <t>400 N Pennsylvania Ave Ste 1200</t>
  </si>
  <si>
    <t>88201-4782</t>
  </si>
  <si>
    <t>Wright Willis</t>
  </si>
  <si>
    <t xml:space="preserve">HARLOW ENTERPRISES LLC                       </t>
  </si>
  <si>
    <t>26 Chalk Bluff Rd</t>
  </si>
  <si>
    <t>79-344-3198</t>
  </si>
  <si>
    <t>Harlow Enterprises LLC</t>
  </si>
  <si>
    <t>88210-9616</t>
  </si>
  <si>
    <t>J HARLOW</t>
  </si>
  <si>
    <t xml:space="preserve">HARVARD PETROLEUM COMPANY, LLC               </t>
  </si>
  <si>
    <t>200 E Second</t>
  </si>
  <si>
    <t>P.O. Box 936</t>
  </si>
  <si>
    <t>08-931-5089</t>
  </si>
  <si>
    <t>Harvard Petroleum Corporation</t>
  </si>
  <si>
    <t>Harvard Petroleum Company,</t>
  </si>
  <si>
    <t>200 E 2ND St</t>
  </si>
  <si>
    <t>88201-6212</t>
  </si>
  <si>
    <t>h lee harvard</t>
  </si>
  <si>
    <t>Harvest Four Corners LLC</t>
  </si>
  <si>
    <t>1755 Arroyo Dr</t>
  </si>
  <si>
    <t>Harvest Pipeline Company LLC</t>
  </si>
  <si>
    <t>1111 Travis Street</t>
  </si>
  <si>
    <t>03-408-6687</t>
  </si>
  <si>
    <t>Harvest Pipeline Company</t>
  </si>
  <si>
    <t>1111 Travis St</t>
  </si>
  <si>
    <t>77002-5924</t>
  </si>
  <si>
    <t>William P Swenson</t>
  </si>
  <si>
    <t>Henry Production Inc</t>
  </si>
  <si>
    <t>3440 Morningstar Dr.</t>
  </si>
  <si>
    <t>00-280-9077</t>
  </si>
  <si>
    <t>Henry Production, Inc.</t>
  </si>
  <si>
    <t>Pumps &amp; Service Div</t>
  </si>
  <si>
    <t>3440 Morning Star Dr</t>
  </si>
  <si>
    <t>87401-8814</t>
  </si>
  <si>
    <t>Harvey H Henry</t>
  </si>
  <si>
    <t>Industrial machinery and equipment</t>
  </si>
  <si>
    <t>Oil well machinery, equipment, and supplies</t>
  </si>
  <si>
    <t>Oil field equipment, rental or leasing</t>
  </si>
  <si>
    <t xml:space="preserve">HEXP Operating, LLC                          </t>
  </si>
  <si>
    <t>113 Corporate Drive</t>
  </si>
  <si>
    <t>09-916-8027</t>
  </si>
  <si>
    <t>Hexp Resources LLC</t>
  </si>
  <si>
    <t xml:space="preserve">HIGH PLAINS PETROLEUM CORP                   </t>
  </si>
  <si>
    <t>3860 Carlock Dr</t>
  </si>
  <si>
    <t>Boulder</t>
  </si>
  <si>
    <t>03-987-6826</t>
  </si>
  <si>
    <t>High Plains Petroleum Corporation</t>
  </si>
  <si>
    <t>80305-6511</t>
  </si>
  <si>
    <t>John B Somers II</t>
  </si>
  <si>
    <t>Hilcorp Energy Company</t>
  </si>
  <si>
    <t>382 CR 3100</t>
  </si>
  <si>
    <t xml:space="preserve">HILCORP ENERGY COMPANY                       </t>
  </si>
  <si>
    <t>60-641-0538</t>
  </si>
  <si>
    <t>Greg Lalicker</t>
  </si>
  <si>
    <t xml:space="preserve">HOLCOMB OIL &amp; GAS INC                        </t>
  </si>
  <si>
    <t>P.O. Box 2058</t>
  </si>
  <si>
    <t>18-238-6185</t>
  </si>
  <si>
    <t>Holcomb Oil &amp; Gas Inc</t>
  </si>
  <si>
    <t>3001 Northridge Dr</t>
  </si>
  <si>
    <t>87401-2084</t>
  </si>
  <si>
    <t>Jeff Holcomb</t>
  </si>
  <si>
    <t>Holly Energy Partners - Operating LP</t>
  </si>
  <si>
    <t>1602 West Main</t>
  </si>
  <si>
    <t>01-155-6373</t>
  </si>
  <si>
    <t>Holly Energy Partners Operating LP</t>
  </si>
  <si>
    <t>1602 W Main St</t>
  </si>
  <si>
    <t>88210-3722</t>
  </si>
  <si>
    <t>PAUL LINAKER</t>
  </si>
  <si>
    <t>HollyFrontier Navajo Refining LLC</t>
  </si>
  <si>
    <t>PO Box 159</t>
  </si>
  <si>
    <t>04-891-8817</t>
  </si>
  <si>
    <t>Hollyfrontier Navajo Refining LLC</t>
  </si>
  <si>
    <t>501 E Main St</t>
  </si>
  <si>
    <t>88210-9606</t>
  </si>
  <si>
    <t>Michael C Jennings</t>
  </si>
  <si>
    <t>Asphalt Paving Mixtures and Blocks</t>
  </si>
  <si>
    <t>Light distillates</t>
  </si>
  <si>
    <t>Asphalt paving mixtures and blocks</t>
  </si>
  <si>
    <t>Asphalt Paving Mixture and Block Manufacturing</t>
  </si>
  <si>
    <t>00-896-5808</t>
  </si>
  <si>
    <t>Hollyfrontier Corporation</t>
  </si>
  <si>
    <t xml:space="preserve">HORSESHOE OPERATING INC.                     </t>
  </si>
  <si>
    <t>PO BOX 51790</t>
  </si>
  <si>
    <t>16-143-4667</t>
  </si>
  <si>
    <t>Horseshoe Operating, Inc.</t>
  </si>
  <si>
    <t>110 W Louisiana Ave Ste 200</t>
  </si>
  <si>
    <t>J Cecil Rhodes</t>
  </si>
  <si>
    <t xml:space="preserve">HPOC, LLC                                    </t>
  </si>
  <si>
    <t>P.O. Box 1898</t>
  </si>
  <si>
    <t>Cuba</t>
  </si>
  <si>
    <t>82-766-1526</t>
  </si>
  <si>
    <t>Hpoc, LLC</t>
  </si>
  <si>
    <t>5 Camino Salado</t>
  </si>
  <si>
    <t>La Jara</t>
  </si>
  <si>
    <t>87027-9722</t>
  </si>
  <si>
    <t>Gordon Burk</t>
  </si>
  <si>
    <t xml:space="preserve">HPPC, INC.                                   </t>
  </si>
  <si>
    <t>306 W Wall 209</t>
  </si>
  <si>
    <t>55-594-1595</t>
  </si>
  <si>
    <t>Hppc, Inc.</t>
  </si>
  <si>
    <t>306 W Wall St Ste 209</t>
  </si>
  <si>
    <t>79701-5130</t>
  </si>
  <si>
    <t>Pratibha Prasad</t>
  </si>
  <si>
    <t>Gasoline</t>
  </si>
  <si>
    <t xml:space="preserve">HUDSON OIL COMPANY OF TEXAS                  </t>
  </si>
  <si>
    <t>616 Texas Street</t>
  </si>
  <si>
    <t>00-792-9714</t>
  </si>
  <si>
    <t>W.A. &amp; E.R. Hudson Inc</t>
  </si>
  <si>
    <t>Hudson Oil Co</t>
  </si>
  <si>
    <t>616 Texas St</t>
  </si>
  <si>
    <t>76102-4612</t>
  </si>
  <si>
    <t>Edward R Hudson Junior</t>
  </si>
  <si>
    <t xml:space="preserve">HUNT CIMARRON LIMITED PARTNERSHIP            </t>
  </si>
  <si>
    <t>P.O. Box 1592</t>
  </si>
  <si>
    <t>01-312-1962</t>
  </si>
  <si>
    <t>Hunt Cimarron Limited Partnership</t>
  </si>
  <si>
    <t>500 N Main St Ste 101</t>
  </si>
  <si>
    <t>88201-4764</t>
  </si>
  <si>
    <t>Ronald C Glover</t>
  </si>
  <si>
    <t xml:space="preserve">HUNTINGTON ENERGY, LLC                       </t>
  </si>
  <si>
    <t>908 N.W. 71st Street</t>
  </si>
  <si>
    <t>96-220-3022</t>
  </si>
  <si>
    <t>Huntington Energy, L.L.C.</t>
  </si>
  <si>
    <t>908 NW 71ST St</t>
  </si>
  <si>
    <t>ROBERT SAMIS</t>
  </si>
  <si>
    <t xml:space="preserve">IACX Production LLC                          </t>
  </si>
  <si>
    <t>5001 LBJ Freeway</t>
  </si>
  <si>
    <t>08-088-7192</t>
  </si>
  <si>
    <t>Iacx Roswell LLC</t>
  </si>
  <si>
    <t>5001 Lyndon B Johnson Fwy Ste 300</t>
  </si>
  <si>
    <t>75244-6160</t>
  </si>
  <si>
    <t>Rex Canon</t>
  </si>
  <si>
    <t>Engine fuels and oils</t>
  </si>
  <si>
    <t>79-091-2195</t>
  </si>
  <si>
    <t>Iacx Energy LLC</t>
  </si>
  <si>
    <t xml:space="preserve">Impetro Operating LLC                        </t>
  </si>
  <si>
    <t xml:space="preserve">201 MAIN STREET </t>
  </si>
  <si>
    <t>11-731-2174</t>
  </si>
  <si>
    <t>Impetro Resources, LLC</t>
  </si>
  <si>
    <t>201 Main St Ste 1351</t>
  </si>
  <si>
    <t>76102-3147</t>
  </si>
  <si>
    <t>Joseph C Daches</t>
  </si>
  <si>
    <t>96-249-0269</t>
  </si>
  <si>
    <t>Lilis Energy, Inc.</t>
  </si>
  <si>
    <t>03-655-3965</t>
  </si>
  <si>
    <t>Brushy Resources, Inc.</t>
  </si>
  <si>
    <t xml:space="preserve">J &amp; J SERVICE INC                            </t>
  </si>
  <si>
    <t>P.O. Box 324</t>
  </si>
  <si>
    <t>07-672-3972</t>
  </si>
  <si>
    <t>J &amp; J Services Inc</t>
  </si>
  <si>
    <t>1600 W Avenue I</t>
  </si>
  <si>
    <t>88260-5002</t>
  </si>
  <si>
    <t>jerry carlisle</t>
  </si>
  <si>
    <t>Beef Cattle, Except Feedlots</t>
  </si>
  <si>
    <t>Beef cattle, except feedlots</t>
  </si>
  <si>
    <t>Beef Cattle Ranching and Farming</t>
  </si>
  <si>
    <t xml:space="preserve">J B MARTINEZ                                 </t>
  </si>
  <si>
    <t>5006 Sandalwood Dr</t>
  </si>
  <si>
    <t>J Cleo Thompson and James Cleo Thompson Jr LP</t>
  </si>
  <si>
    <t>PO Box 12577</t>
  </si>
  <si>
    <t>09-188-2480</t>
  </si>
  <si>
    <t>Thompson &amp; Thompson</t>
  </si>
  <si>
    <t>Thompson J Cleo Oil Producers</t>
  </si>
  <si>
    <t>117 W Yukon Rd</t>
  </si>
  <si>
    <t>79764-2817</t>
  </si>
  <si>
    <t>Jeff Birkelbach</t>
  </si>
  <si>
    <t>07-761-3107</t>
  </si>
  <si>
    <t xml:space="preserve">J R OIL, LTD. CO.                            </t>
  </si>
  <si>
    <t>P.O. Box 2975</t>
  </si>
  <si>
    <t>08-261-5167</t>
  </si>
  <si>
    <t>Intrepid Operating Ltd., Co.</t>
  </si>
  <si>
    <t>J R Oil</t>
  </si>
  <si>
    <t>3500 N Acoma Dr</t>
  </si>
  <si>
    <t>88240-1208</t>
  </si>
  <si>
    <t>RALPH C BRUTON</t>
  </si>
  <si>
    <t>Petroleum, mining, and chemical engineers</t>
  </si>
  <si>
    <t xml:space="preserve">JACK D KNOX                                  </t>
  </si>
  <si>
    <t>3878 Oaklawn</t>
  </si>
  <si>
    <t xml:space="preserve">JACK HUFF                                    </t>
  </si>
  <si>
    <t>P.O. Box 50190</t>
  </si>
  <si>
    <t>09-974-1704</t>
  </si>
  <si>
    <t>Jack Huff</t>
  </si>
  <si>
    <t>Jack Huff First Energy</t>
  </si>
  <si>
    <t>410 Veterans Airpark Ln</t>
  </si>
  <si>
    <t>79705-4570</t>
  </si>
  <si>
    <t xml:space="preserve">JACK J. GRYNBERG                             </t>
  </si>
  <si>
    <t>5299 DTC Blvd</t>
  </si>
  <si>
    <t>Greenwwod Village</t>
  </si>
  <si>
    <t xml:space="preserve">JALAPENO CORPORATION                         </t>
  </si>
  <si>
    <t>P.O. Box 1608</t>
  </si>
  <si>
    <t>88-495-4322</t>
  </si>
  <si>
    <t>Jalapeno Corporation</t>
  </si>
  <si>
    <t>Jalapeno Holdings</t>
  </si>
  <si>
    <t>1429 Central Ave NW</t>
  </si>
  <si>
    <t>87104-1162</t>
  </si>
  <si>
    <t>Harvey Yates</t>
  </si>
  <si>
    <t xml:space="preserve">JAY MANAGEMENT COMPANY, LLC                  </t>
  </si>
  <si>
    <t>11767 Katy Fwy</t>
  </si>
  <si>
    <t>77079-1715</t>
  </si>
  <si>
    <t>12-071-7981</t>
  </si>
  <si>
    <t>Jay Management Co. LLC</t>
  </si>
  <si>
    <t>11767 Katy Fwy Ste 711</t>
  </si>
  <si>
    <t xml:space="preserve">JICARILLA ENERGY CO                          </t>
  </si>
  <si>
    <t>P.O. Box 249</t>
  </si>
  <si>
    <t>12-300-6629</t>
  </si>
  <si>
    <t>Jicarilla Energy Co</t>
  </si>
  <si>
    <t>Services, nec, nsk</t>
  </si>
  <si>
    <t>Services, Nec</t>
  </si>
  <si>
    <t>Information bureau</t>
  </si>
  <si>
    <t>All Other Professional, Scientific, and Technical Services</t>
  </si>
  <si>
    <t xml:space="preserve">Jilpetco, Inc.                               </t>
  </si>
  <si>
    <t xml:space="preserve">5700 W PLANO PKWY </t>
  </si>
  <si>
    <t xml:space="preserve">JKM ENERGY, LLC                              </t>
  </si>
  <si>
    <t>26 E Compress Road</t>
  </si>
  <si>
    <t>18-854-7827</t>
  </si>
  <si>
    <t>Jkm Energy, LLC</t>
  </si>
  <si>
    <t>26 E Compress Rd</t>
  </si>
  <si>
    <t>88210-9215</t>
  </si>
  <si>
    <t>Jack Mathews</t>
  </si>
  <si>
    <t>Oils, fuel</t>
  </si>
  <si>
    <t xml:space="preserve">JOHN E SCHALK                                </t>
  </si>
  <si>
    <t>P.O. Box 25825</t>
  </si>
  <si>
    <t xml:space="preserve">JOHN E. MCCOOL                               </t>
  </si>
  <si>
    <t>Youngsville</t>
  </si>
  <si>
    <t>PA</t>
  </si>
  <si>
    <t>16371-020</t>
  </si>
  <si>
    <t xml:space="preserve">JOINT RESOURCES COMPANY                      </t>
  </si>
  <si>
    <t>5416 Birchman Avenue</t>
  </si>
  <si>
    <t>92-743-1127</t>
  </si>
  <si>
    <t>Joint Resources Co</t>
  </si>
  <si>
    <t>5416 Birchman Ave</t>
  </si>
  <si>
    <t>76107-5111</t>
  </si>
  <si>
    <t>MARK G KALPAKIS</t>
  </si>
  <si>
    <t xml:space="preserve">JPH OIL PRODUCERS DBA JIMMY P HODGE          </t>
  </si>
  <si>
    <t>P.O. Box 565</t>
  </si>
  <si>
    <t>93-267-8287</t>
  </si>
  <si>
    <t>Jph Oil Producers</t>
  </si>
  <si>
    <t>S County Rd 97</t>
  </si>
  <si>
    <t>Jimmy Hodge</t>
  </si>
  <si>
    <t>Cementing oil and gas well casings</t>
  </si>
  <si>
    <t xml:space="preserve">JR CONE OPERATING, LLC                       </t>
  </si>
  <si>
    <t>P.O. Box 10217</t>
  </si>
  <si>
    <t xml:space="preserve">JUDAH OIL LLC                                </t>
  </si>
  <si>
    <t>PO Box 568</t>
  </si>
  <si>
    <t>17-135-6434</t>
  </si>
  <si>
    <t>Judah Oil</t>
  </si>
  <si>
    <t>Campanella, James</t>
  </si>
  <si>
    <t>James Campanella</t>
  </si>
  <si>
    <t>Juniper Resources Exploration Company LLC</t>
  </si>
  <si>
    <t>5128 Apache Plume Road</t>
  </si>
  <si>
    <t>12-939-8544</t>
  </si>
  <si>
    <t>Juniper Resources Explora</t>
  </si>
  <si>
    <t>5128 Apache Plume Rd Ste 300</t>
  </si>
  <si>
    <t>76109-1506</t>
  </si>
  <si>
    <t>J-W Operating Company</t>
  </si>
  <si>
    <t>15505 Wright Brothers Drive</t>
  </si>
  <si>
    <t>00-677-1356</t>
  </si>
  <si>
    <t>Cohort Energy Company</t>
  </si>
  <si>
    <t>15505 Wright Brothers Dr</t>
  </si>
  <si>
    <t>75001-4274</t>
  </si>
  <si>
    <t>Howard G Westerman</t>
  </si>
  <si>
    <t>96-555-9672</t>
  </si>
  <si>
    <t>J-W Energy Company</t>
  </si>
  <si>
    <t xml:space="preserve">K P KAUFFMAN COMPANY INC                     </t>
  </si>
  <si>
    <t>1675 Broadway</t>
  </si>
  <si>
    <t>14-857-0708</t>
  </si>
  <si>
    <t>K.P. Kauffman Company, Inc.</t>
  </si>
  <si>
    <t>1675 Broadway Ste 2800</t>
  </si>
  <si>
    <t>80202-4690</t>
  </si>
  <si>
    <t>Kevin P Kauffman</t>
  </si>
  <si>
    <t>Directional drilling oil and gas wells</t>
  </si>
  <si>
    <t>Cargo loading and unloading services</t>
  </si>
  <si>
    <t>Support Activities for Rail Transportation</t>
  </si>
  <si>
    <t xml:space="preserve">KAISER-FRANCIS OIL CO                        </t>
  </si>
  <si>
    <t>P.O. Box 21468</t>
  </si>
  <si>
    <t>07-241-7900</t>
  </si>
  <si>
    <t>Kaiser-Francis Oil Company</t>
  </si>
  <si>
    <t>Pilgrim Drilling Co</t>
  </si>
  <si>
    <t>6733 S Yale Ave</t>
  </si>
  <si>
    <t>74136-3330</t>
  </si>
  <si>
    <t>George B Kaiser</t>
  </si>
  <si>
    <t>03-398-5557</t>
  </si>
  <si>
    <t>Gbk Corporation</t>
  </si>
  <si>
    <t xml:space="preserve">KASH OPERATING LLC                           </t>
  </si>
  <si>
    <t>PO BOX 62784</t>
  </si>
  <si>
    <t>SAN ANGELO</t>
  </si>
  <si>
    <t>KCI Compression</t>
  </si>
  <si>
    <t>6105 W 68th St</t>
  </si>
  <si>
    <t>08-595-1929</t>
  </si>
  <si>
    <t>Kci, Inc.</t>
  </si>
  <si>
    <t>Kci Compression</t>
  </si>
  <si>
    <t>6105 W 68TH St</t>
  </si>
  <si>
    <t>74131-2430</t>
  </si>
  <si>
    <t>JACQUES J CAPELLUTO</t>
  </si>
  <si>
    <t>Air and gas compressors, nsk</t>
  </si>
  <si>
    <t>Air and Gas Compressors</t>
  </si>
  <si>
    <t>General Industrial Machinery,</t>
  </si>
  <si>
    <t>Air and gas compressors including vacuum pumps</t>
  </si>
  <si>
    <t>Gas generators</t>
  </si>
  <si>
    <t>Air and Gas Compressor Manufacturing</t>
  </si>
  <si>
    <t>All Other Miscellaneous General Purpose Machinery Manufacturing</t>
  </si>
  <si>
    <t>KCS Medallion Resources</t>
  </si>
  <si>
    <t>7130 S Lewis Ave</t>
  </si>
  <si>
    <t>61-791-2894</t>
  </si>
  <si>
    <t>KCS Medallion Resources Inc</t>
  </si>
  <si>
    <t>7130 S Lewis Ave Ste 700</t>
  </si>
  <si>
    <t>74136-5489</t>
  </si>
  <si>
    <t>Gene C Daley</t>
  </si>
  <si>
    <t xml:space="preserve">KEM Ventures, LP                             </t>
  </si>
  <si>
    <t>22136 Westheimer Pkwy</t>
  </si>
  <si>
    <t>Katy</t>
  </si>
  <si>
    <t>Kerr-McGee Oil &amp; Gas Onshore LLC - subsidiary of Anadarko</t>
  </si>
  <si>
    <t>306 W. Wall St.</t>
  </si>
  <si>
    <t xml:space="preserve">KERSEY &amp; COMPANY                             </t>
  </si>
  <si>
    <t>P.O. Box 1248</t>
  </si>
  <si>
    <t>00-891-4277</t>
  </si>
  <si>
    <t>Kersey &amp; Company</t>
  </si>
  <si>
    <t>808 W Grand Ave</t>
  </si>
  <si>
    <t>88210-1937</t>
  </si>
  <si>
    <t>Mary Ellen Kersey</t>
  </si>
  <si>
    <t xml:space="preserve">KEVIN O BUTLER &amp; ASSOC INC                   </t>
  </si>
  <si>
    <t>P.O. Box 1171</t>
  </si>
  <si>
    <t>11-877-7234</t>
  </si>
  <si>
    <t>Kevin O Butler and Associates Inc</t>
  </si>
  <si>
    <t>550 W Texas Ave Ste 660</t>
  </si>
  <si>
    <t>79701-4255</t>
  </si>
  <si>
    <t>Kevin O Butler</t>
  </si>
  <si>
    <t xml:space="preserve">KEYSTONE ENERGY LLC                          </t>
  </si>
  <si>
    <t>P.O. Box 962</t>
  </si>
  <si>
    <t>00-759-4617</t>
  </si>
  <si>
    <t>Keystone Energy LLC</t>
  </si>
  <si>
    <t>30001 Northridge Dr</t>
  </si>
  <si>
    <t>Bradley Salzman</t>
  </si>
  <si>
    <t xml:space="preserve">KIMBELL OIL CO OF TEXAS                      </t>
  </si>
  <si>
    <t>777 Taylor Street</t>
  </si>
  <si>
    <t>Ft Worth</t>
  </si>
  <si>
    <t>07-316-3834</t>
  </si>
  <si>
    <t>Kimbell Operating Company, L.L.C.</t>
  </si>
  <si>
    <t>777 Taylor St PH P2A</t>
  </si>
  <si>
    <t>76102-4922</t>
  </si>
  <si>
    <t>Jack Redding Senior</t>
  </si>
  <si>
    <t xml:space="preserve">KIMLAR OIL COMPANY                           </t>
  </si>
  <si>
    <t>824 So Avenue C</t>
  </si>
  <si>
    <t>Kermit</t>
  </si>
  <si>
    <t>AAFAAZZ</t>
  </si>
  <si>
    <t>17-638-2299</t>
  </si>
  <si>
    <t>Kimlar Oil Co</t>
  </si>
  <si>
    <t>824 S C Ave</t>
  </si>
  <si>
    <t>79745-4820</t>
  </si>
  <si>
    <t>Lloyd Hill</t>
  </si>
  <si>
    <t>Oil royalty traders, nsk</t>
  </si>
  <si>
    <t xml:space="preserve">KINNEY INCORPORATED                          </t>
  </si>
  <si>
    <t>P.O. Box 809</t>
  </si>
  <si>
    <t>00-389-0944</t>
  </si>
  <si>
    <t>Kinney Inc</t>
  </si>
  <si>
    <t>Kinney</t>
  </si>
  <si>
    <t>1007 W Broadway St</t>
  </si>
  <si>
    <t>79714-6126</t>
  </si>
  <si>
    <t>Ellison Tom Junior</t>
  </si>
  <si>
    <t>Local trucking, without storage, nsk</t>
  </si>
  <si>
    <t>Local Trucking, Without Storage</t>
  </si>
  <si>
    <t>Local trucking, without storage</t>
  </si>
  <si>
    <t>General Freight Trucking, Local</t>
  </si>
  <si>
    <t xml:space="preserve">KNOX INDUSTRIES INC                          </t>
  </si>
  <si>
    <t>P.O. Box 3023</t>
  </si>
  <si>
    <t>04-787-9739</t>
  </si>
  <si>
    <t>Knox Industries</t>
  </si>
  <si>
    <t>602 N Baird St Ste 132</t>
  </si>
  <si>
    <t>79701-4734</t>
  </si>
  <si>
    <t>Gordon S Knox</t>
  </si>
  <si>
    <t>Commercial and industrial building operation</t>
  </si>
  <si>
    <t>Lessors of Nonresidential Buildings (except Miniwarehouses)</t>
  </si>
  <si>
    <t>Koch Exploration Company LLC</t>
  </si>
  <si>
    <t>9777 Mount Pyramid Court</t>
  </si>
  <si>
    <t xml:space="preserve">L E JONES OPERATING INC                      </t>
  </si>
  <si>
    <t>P.O. Box 1185</t>
  </si>
  <si>
    <t>Duncan</t>
  </si>
  <si>
    <t>79-774-2822</t>
  </si>
  <si>
    <t>L E Jones Production Co</t>
  </si>
  <si>
    <t>L E Jones Production Company</t>
  </si>
  <si>
    <t>15 S 10TH St Ste A</t>
  </si>
  <si>
    <t>73533-4950</t>
  </si>
  <si>
    <t>Lawayne E Jones</t>
  </si>
  <si>
    <t xml:space="preserve">LA PLATA GATHERING SYSTEM INC                </t>
  </si>
  <si>
    <t>#852 4925 Greenville Ave</t>
  </si>
  <si>
    <t>00-750-0200</t>
  </si>
  <si>
    <t>La Plata Gathering System Inc</t>
  </si>
  <si>
    <t>4925 Greenville Ave Ste 852</t>
  </si>
  <si>
    <t>75206-4015</t>
  </si>
  <si>
    <t>Fred Turner</t>
  </si>
  <si>
    <t xml:space="preserve">LAN MA'S OIL AND GAS LLC                     </t>
  </si>
  <si>
    <t>3505 W Sam Houston Parkway South</t>
  </si>
  <si>
    <t>83-792-5903</t>
  </si>
  <si>
    <t>Lan &amp; Ma's Real Estate Company LLC</t>
  </si>
  <si>
    <t>3505 W Sam Houston Pkwy S APT 3201</t>
  </si>
  <si>
    <t>77042-2097</t>
  </si>
  <si>
    <t>SHUYING LAN</t>
  </si>
  <si>
    <t>Real estate brokers and agents</t>
  </si>
  <si>
    <t xml:space="preserve">LANEXCO INC                   </t>
  </si>
  <si>
    <t>107 Main Street</t>
  </si>
  <si>
    <t>Sealy</t>
  </si>
  <si>
    <t xml:space="preserve">LAWRENCE W RITTER                            </t>
  </si>
  <si>
    <t>468 N Camdon Drive</t>
  </si>
  <si>
    <t>Beverly Hills</t>
  </si>
  <si>
    <t xml:space="preserve">LEE M CRANE                                  </t>
  </si>
  <si>
    <t>125 South Pollard</t>
  </si>
  <si>
    <t>Legacy Reserves Operating, LP</t>
  </si>
  <si>
    <t>303 W Wall</t>
  </si>
  <si>
    <t>07-910-5846</t>
  </si>
  <si>
    <t>Legacy Reserves Operating GP LLC</t>
  </si>
  <si>
    <t>Legacy Resources</t>
  </si>
  <si>
    <t>303 W Wall St Ste 1400</t>
  </si>
  <si>
    <t>79701-5126</t>
  </si>
  <si>
    <t>Paul Horne</t>
  </si>
  <si>
    <t>08-134-9162</t>
  </si>
  <si>
    <t>Legacy Reserves Inc.</t>
  </si>
  <si>
    <t>78-280-1414</t>
  </si>
  <si>
    <t>Legacy Reserves LP</t>
  </si>
  <si>
    <t>Legend Natural Gas III, LP</t>
  </si>
  <si>
    <t>777 Main Street</t>
  </si>
  <si>
    <t>16-602-3544</t>
  </si>
  <si>
    <t>Natural Gas Partners</t>
  </si>
  <si>
    <t>777 Main St Ste 2250</t>
  </si>
  <si>
    <t>76102-5308</t>
  </si>
  <si>
    <t xml:space="preserve">LG&amp;S OIL COMPANY, LLC                        </t>
  </si>
  <si>
    <t>P.O. Box 1081</t>
  </si>
  <si>
    <t xml:space="preserve">LH Operating, LLC                            </t>
  </si>
  <si>
    <t>4809 Cole Ave</t>
  </si>
  <si>
    <t>11-773-1587</t>
  </si>
  <si>
    <t>Lh Operating, LLC</t>
  </si>
  <si>
    <t>75205-3578</t>
  </si>
  <si>
    <t>Business management consultant</t>
  </si>
  <si>
    <t xml:space="preserve">LIME ROCK RESOURCES II-A, L.P.               </t>
  </si>
  <si>
    <t>1111 Bagby Street</t>
  </si>
  <si>
    <t>07-934-5733</t>
  </si>
  <si>
    <t>Lime Rock Resources III-A Gp, LLC</t>
  </si>
  <si>
    <t>1111 Bagby St</t>
  </si>
  <si>
    <t>77002-2551</t>
  </si>
  <si>
    <t>Charles W Adcock</t>
  </si>
  <si>
    <t>Oil and gas field machinery, nsk</t>
  </si>
  <si>
    <t>Oil and Gas Field Machinery</t>
  </si>
  <si>
    <t>Oil and gas field machinery</t>
  </si>
  <si>
    <t>Oil and Gas Field Machinery and Equipment Manufacturing</t>
  </si>
  <si>
    <t>11-948-5949</t>
  </si>
  <si>
    <t>Lime Rock Management LP</t>
  </si>
  <si>
    <t>CT</t>
  </si>
  <si>
    <t xml:space="preserve">LINDENMUTH &amp; ASSOCIATES INC                  </t>
  </si>
  <si>
    <t>510 Hearn St</t>
  </si>
  <si>
    <t>03-222-8941</t>
  </si>
  <si>
    <t>Lindenmuth Realty LLC</t>
  </si>
  <si>
    <t>510 Hearn St Ste 200</t>
  </si>
  <si>
    <t>78703-4516</t>
  </si>
  <si>
    <t>JUSTIN J LINDENMUTH</t>
  </si>
  <si>
    <t>Real estate agent, commercial</t>
  </si>
  <si>
    <t xml:space="preserve">LIVELY EXPLORATION CO                        </t>
  </si>
  <si>
    <t>2450 Fondren</t>
  </si>
  <si>
    <t>04-292-0660</t>
  </si>
  <si>
    <t>Lively Exploration Company Inc</t>
  </si>
  <si>
    <t>2450 Fondren Rd Ste 260</t>
  </si>
  <si>
    <t>77063-2324</t>
  </si>
  <si>
    <t>Adam B Lively</t>
  </si>
  <si>
    <t xml:space="preserve">LLJ VENTURES, LLC DBA MARKER OIL &amp; GAS       </t>
  </si>
  <si>
    <t>P.O. Box 3188</t>
  </si>
  <si>
    <t>LM Touchdown LLC</t>
  </si>
  <si>
    <t>2850 N Harwood</t>
  </si>
  <si>
    <t>11-733-1698</t>
  </si>
  <si>
    <t>Lm Touchdown LLC</t>
  </si>
  <si>
    <t>2651 N Harwood St</t>
  </si>
  <si>
    <t>75201-1513</t>
  </si>
  <si>
    <t>Business Activities at Non-Commercial Site</t>
  </si>
  <si>
    <t>All Other Support Services</t>
  </si>
  <si>
    <t>Logos Operating, LLC</t>
  </si>
  <si>
    <t>06-112-0891</t>
  </si>
  <si>
    <t>Logos Resources, LLC</t>
  </si>
  <si>
    <t>Kevin Thomas</t>
  </si>
  <si>
    <t>Longfellow Energy LP</t>
  </si>
  <si>
    <t>8115 Preston Road</t>
  </si>
  <si>
    <t>Longwood RB Pipline LLC</t>
  </si>
  <si>
    <t>Lucid Artesia Company</t>
  </si>
  <si>
    <t>PO Box 158</t>
  </si>
  <si>
    <t>Lucid Energy Delaware, LLC</t>
  </si>
  <si>
    <t>3100 McKinnon St</t>
  </si>
  <si>
    <t>08-039-7959</t>
  </si>
  <si>
    <t>Lucid Energy Group II, LLC</t>
  </si>
  <si>
    <t>3100 McKinnon St Ste 800</t>
  </si>
  <si>
    <t>75201-7014</t>
  </si>
  <si>
    <t>Michael J Latchem</t>
  </si>
  <si>
    <t xml:space="preserve">LYNX OPERATING CO., INC.                     </t>
  </si>
  <si>
    <t>4849 Greenville Ave.</t>
  </si>
  <si>
    <t>02-687-8844</t>
  </si>
  <si>
    <t>Lynx Operating Co., Inc.</t>
  </si>
  <si>
    <t>4849 Greenville Ave Ste 1255</t>
  </si>
  <si>
    <t>75206-4187</t>
  </si>
  <si>
    <t>Robert S Craine</t>
  </si>
  <si>
    <t xml:space="preserve">LYNX PETROLEUM CONSULTANTS INC               </t>
  </si>
  <si>
    <t>P.O. Box 1708</t>
  </si>
  <si>
    <t>88241-1708</t>
  </si>
  <si>
    <t>00-211-1193</t>
  </si>
  <si>
    <t>Lynx Petroleum Consultants Inc</t>
  </si>
  <si>
    <t>Lynx Petroleum</t>
  </si>
  <si>
    <t>3325 N Enterprise Dr</t>
  </si>
  <si>
    <t>88240-1046</t>
  </si>
  <si>
    <t>Larry R Scott</t>
  </si>
  <si>
    <t>Petroleum engineering</t>
  </si>
  <si>
    <t xml:space="preserve">M &amp; G DRLG CO INC                            </t>
  </si>
  <si>
    <t>P.O. Box 5940</t>
  </si>
  <si>
    <t>17-275-0817</t>
  </si>
  <si>
    <t>M &amp; G Drilling Company Inc</t>
  </si>
  <si>
    <t>906 San Juan Blvd Ste D</t>
  </si>
  <si>
    <t>87401-2745</t>
  </si>
  <si>
    <t>Bonnie Vistica</t>
  </si>
  <si>
    <t>Shipbuilding and repairing</t>
  </si>
  <si>
    <t>Shipbuilding and Repairing</t>
  </si>
  <si>
    <t>Drilling and production platforms, floating (oil and gas)</t>
  </si>
  <si>
    <t>Ship Building and Repairing</t>
  </si>
  <si>
    <t xml:space="preserve">M &amp; M PRODUCTION &amp; OPERATION                 </t>
  </si>
  <si>
    <t>18-404-3706</t>
  </si>
  <si>
    <t>M&amp;M Production &amp; Operation Inc</t>
  </si>
  <si>
    <t>87402-4805</t>
  </si>
  <si>
    <t>TERESA MCCOWN</t>
  </si>
  <si>
    <t>Derricks, oil or gas field</t>
  </si>
  <si>
    <t xml:space="preserve">M E W ENTERPRISE                             </t>
  </si>
  <si>
    <t>300 South Kentucky</t>
  </si>
  <si>
    <t>16-627-9534</t>
  </si>
  <si>
    <t>Mew Enterprises, Inc</t>
  </si>
  <si>
    <t>Servco</t>
  </si>
  <si>
    <t>200 W 1ST St Ste 325</t>
  </si>
  <si>
    <t>88203-4699</t>
  </si>
  <si>
    <t>Russell Whited</t>
  </si>
  <si>
    <t>Fuel oil</t>
  </si>
  <si>
    <t xml:space="preserve">M R SCHALK                                   </t>
  </si>
  <si>
    <t xml:space="preserve">M&amp;M ENERGY, LLC                              </t>
  </si>
  <si>
    <t>1008A Prospect Street</t>
  </si>
  <si>
    <t>El Paso</t>
  </si>
  <si>
    <t xml:space="preserve">M&amp;M OIL, LLC                                 </t>
  </si>
  <si>
    <t>1902 West Hermosa Dr</t>
  </si>
  <si>
    <t>88210-254</t>
  </si>
  <si>
    <t>Mack Energy Corporation</t>
  </si>
  <si>
    <t>P.O. Box 960</t>
  </si>
  <si>
    <t>80-489-3105</t>
  </si>
  <si>
    <t>11344 Lovington Hwy</t>
  </si>
  <si>
    <t>88210-9634</t>
  </si>
  <si>
    <t>Mack C Chase</t>
  </si>
  <si>
    <t xml:space="preserve">MAMMOTH EXPLORATION, LLC                     </t>
  </si>
  <si>
    <t>200 North Loraine Street</t>
  </si>
  <si>
    <t>12-948-6606</t>
  </si>
  <si>
    <t>Gap Exploration, Ltd</t>
  </si>
  <si>
    <t>200 N Loraine St Ste 1508</t>
  </si>
  <si>
    <t>79701-4758</t>
  </si>
  <si>
    <t>Stan Venable</t>
  </si>
  <si>
    <t xml:space="preserve">MANANA GAS INC                               </t>
  </si>
  <si>
    <t>2520 Tramway Terrace Ct NE</t>
  </si>
  <si>
    <t>78-845-0492</t>
  </si>
  <si>
    <t>Manana Gas Inc</t>
  </si>
  <si>
    <t>87122-2317</t>
  </si>
  <si>
    <t>Doug Hartman</t>
  </si>
  <si>
    <t xml:space="preserve">MANZANO LLC                                  </t>
  </si>
  <si>
    <t>P.O. Box 1737</t>
  </si>
  <si>
    <t>11-624-5176</t>
  </si>
  <si>
    <t>Manzano, LLC</t>
  </si>
  <si>
    <t>121 W 3RD</t>
  </si>
  <si>
    <t>Kenneth V Barbe Junior</t>
  </si>
  <si>
    <t xml:space="preserve">MAR OIL &amp; GAS CORP.                          </t>
  </si>
  <si>
    <t>P.O. Box 5155</t>
  </si>
  <si>
    <t>Santa Fe</t>
  </si>
  <si>
    <t>03-830-9548</t>
  </si>
  <si>
    <t>Mar Oil and Gas Corporation</t>
  </si>
  <si>
    <t>Numar</t>
  </si>
  <si>
    <t>21 Bisbee Ct Ste H</t>
  </si>
  <si>
    <t>87508-1338</t>
  </si>
  <si>
    <t>Leon A Romero</t>
  </si>
  <si>
    <t xml:space="preserve">MARALEX RESOURCES INC                        </t>
  </si>
  <si>
    <t>P.O. Box 338</t>
  </si>
  <si>
    <t>Ignacio</t>
  </si>
  <si>
    <t>61-639-9986</t>
  </si>
  <si>
    <t>Maralex Resources, Inc.</t>
  </si>
  <si>
    <t>O'Hare Investments</t>
  </si>
  <si>
    <t>775 Goddard Ave</t>
  </si>
  <si>
    <t>81137-5055</t>
  </si>
  <si>
    <t>A O'Hare</t>
  </si>
  <si>
    <t>Maralo, Inc</t>
  </si>
  <si>
    <t>PO Box 832</t>
  </si>
  <si>
    <t>10-704-7763</t>
  </si>
  <si>
    <t>Maralo, LLC</t>
  </si>
  <si>
    <t>Joe Pulido</t>
  </si>
  <si>
    <t>Marathon Oil Permian LLC</t>
  </si>
  <si>
    <t>5555 San Felipe Street</t>
  </si>
  <si>
    <t>11-727-6719</t>
  </si>
  <si>
    <t>5555 San Felipe St</t>
  </si>
  <si>
    <t>77056-2799</t>
  </si>
  <si>
    <t>00-202-8801</t>
  </si>
  <si>
    <t>Marathon Oil Corporation</t>
  </si>
  <si>
    <t xml:space="preserve">MARK L SHIDLER INC                           </t>
  </si>
  <si>
    <t>1313 Campbell Road</t>
  </si>
  <si>
    <t>01-290-1542</t>
  </si>
  <si>
    <t>Mark L. Shidler, Inc.</t>
  </si>
  <si>
    <t>1313 Campbell Rd Ste D</t>
  </si>
  <si>
    <t>77055-6429</t>
  </si>
  <si>
    <t>Mark L Shidler</t>
  </si>
  <si>
    <t>Mark West Tornado Gas Plant, L.L.C.</t>
  </si>
  <si>
    <t>1515 Arapahoe Street</t>
  </si>
  <si>
    <t>14-326-8097</t>
  </si>
  <si>
    <t>Markwest Oklahoma Gas Co LLC</t>
  </si>
  <si>
    <t>1515 Arapahoe St Ste 1600</t>
  </si>
  <si>
    <t>80202-2137</t>
  </si>
  <si>
    <t>Frank M Semple</t>
  </si>
  <si>
    <t>07-854-2035</t>
  </si>
  <si>
    <t>Mplx LP</t>
  </si>
  <si>
    <t>OH</t>
  </si>
  <si>
    <t>03-449-6146</t>
  </si>
  <si>
    <t>Markwest Energy Partners, L.P.</t>
  </si>
  <si>
    <t xml:space="preserve">MARSHALL &amp; WINSTON INC                       </t>
  </si>
  <si>
    <t>P.O. Box 50880</t>
  </si>
  <si>
    <t>07-618-0108</t>
  </si>
  <si>
    <t>Marshall &amp; Winston, Inc.</t>
  </si>
  <si>
    <t>6 Desta Dr Ste 3100</t>
  </si>
  <si>
    <t>79705-5538</t>
  </si>
  <si>
    <t>Steve Wyman</t>
  </si>
  <si>
    <t xml:space="preserve">MAS OPERATING CO.                            </t>
  </si>
  <si>
    <t>P. O. Box 52167</t>
  </si>
  <si>
    <t>Matador Production Company</t>
  </si>
  <si>
    <t>One Lincoln Centre, 5400 LBJ Freeway</t>
  </si>
  <si>
    <t xml:space="preserve">MAVERICK OPERATING, LLC                      </t>
  </si>
  <si>
    <t>1004 N Big Spring Street</t>
  </si>
  <si>
    <t>05-542-5478</t>
  </si>
  <si>
    <t>Maverick Operating, LLC</t>
  </si>
  <si>
    <t>1004 N Big Spring St Ste 507</t>
  </si>
  <si>
    <t>79701-3383</t>
  </si>
  <si>
    <t>E Scott Kimbrough</t>
  </si>
  <si>
    <t xml:space="preserve">MAX D WEBB                                   </t>
  </si>
  <si>
    <t>PO Box 190</t>
  </si>
  <si>
    <t xml:space="preserve">MCCASLAND MANAGEMENT INC                     </t>
  </si>
  <si>
    <t>1008 W Broadway</t>
  </si>
  <si>
    <t xml:space="preserve">MCDONNOLD OPERATING INC                      </t>
  </si>
  <si>
    <t>505 N Big Spring</t>
  </si>
  <si>
    <t>03-760-7244</t>
  </si>
  <si>
    <t>McDonnold Operating Inc</t>
  </si>
  <si>
    <t>505 N Big Spring St Ste 204</t>
  </si>
  <si>
    <t>79701-4346</t>
  </si>
  <si>
    <t>Craig McDonnold</t>
  </si>
  <si>
    <t xml:space="preserve">MCGOWAN WORKING PARTNERS, INC                </t>
  </si>
  <si>
    <t>P.O. Box 55809</t>
  </si>
  <si>
    <t>MS</t>
  </si>
  <si>
    <t>78-409-7065</t>
  </si>
  <si>
    <t>McGowan Working Partners, Inc.</t>
  </si>
  <si>
    <t>1837 Crane Ridge Dr</t>
  </si>
  <si>
    <t>Mississippi</t>
  </si>
  <si>
    <t>39216-4902</t>
  </si>
  <si>
    <t>David B Russell</t>
  </si>
  <si>
    <t xml:space="preserve">MCI OPERATING OF NM, LLC                     </t>
  </si>
  <si>
    <t>McKay Oil Corporation</t>
  </si>
  <si>
    <t>PO Box 2014</t>
  </si>
  <si>
    <t>09-765-9767</t>
  </si>
  <si>
    <t>1 McKay Pl</t>
  </si>
  <si>
    <t>88201-9740</t>
  </si>
  <si>
    <t>Roy L McKay</t>
  </si>
  <si>
    <t xml:space="preserve">MEADCO PROPERTIES LTD                        </t>
  </si>
  <si>
    <t>P.O. Box 2236</t>
  </si>
  <si>
    <t>04-787-2858</t>
  </si>
  <si>
    <t>Meadco Properties</t>
  </si>
  <si>
    <t>300 W Louisiana Ave Ste 200</t>
  </si>
  <si>
    <t>79701-3490</t>
  </si>
  <si>
    <t>Billy C Cotner</t>
  </si>
  <si>
    <t xml:space="preserve">MERRION OIL &amp; GAS CORP                       </t>
  </si>
  <si>
    <t>610 Reilly Avenue</t>
  </si>
  <si>
    <t>01-451-0408</t>
  </si>
  <si>
    <t>Merrion Oil &amp; Gas Corporation</t>
  </si>
  <si>
    <t>610 Reilly Ave</t>
  </si>
  <si>
    <t>87401-2634</t>
  </si>
  <si>
    <t>T Greg Merrion</t>
  </si>
  <si>
    <t>Mesa Oil</t>
  </si>
  <si>
    <t>6394 E 80TH Ave</t>
  </si>
  <si>
    <t>80022-1190</t>
  </si>
  <si>
    <t>00-710-9085</t>
  </si>
  <si>
    <t>Mesa Oil, Inc.</t>
  </si>
  <si>
    <t>Mesa Environmental Services</t>
  </si>
  <si>
    <t>6395 E 80TH Ave Ste B</t>
  </si>
  <si>
    <t>Commerce City</t>
  </si>
  <si>
    <t>Mike Walser</t>
  </si>
  <si>
    <t>Lubricating oils and greases, nsk</t>
  </si>
  <si>
    <t>Lubricating Oils and Greases</t>
  </si>
  <si>
    <t>Re-refining lubricating oils and greases, nec</t>
  </si>
  <si>
    <t>Petroleum Lubricating Oil and Grease Manufacturing</t>
  </si>
  <si>
    <t xml:space="preserve">ME-TEX OIL &amp; GAS INC                         </t>
  </si>
  <si>
    <t>119 E Bender Blvd</t>
  </si>
  <si>
    <t>PO Box 2070</t>
  </si>
  <si>
    <t>00-891-4483</t>
  </si>
  <si>
    <t>Me-Tex Oil &amp; Gas, Inc.</t>
  </si>
  <si>
    <t>119 E Vendor Blvd</t>
  </si>
  <si>
    <t>Mark Veteto</t>
  </si>
  <si>
    <t>Mewbourne Oil Company</t>
  </si>
  <si>
    <t>PO Box 5270</t>
  </si>
  <si>
    <t>03-830-0745</t>
  </si>
  <si>
    <t>701 S Cecil St</t>
  </si>
  <si>
    <t>88240-7802</t>
  </si>
  <si>
    <t>Robin Terrell</t>
  </si>
  <si>
    <t>07-760-3595</t>
  </si>
  <si>
    <t>Mewbourne Holdings, Inc.</t>
  </si>
  <si>
    <t>04-783-9923</t>
  </si>
  <si>
    <t xml:space="preserve">MGM OIL &amp; GAS CO                             </t>
  </si>
  <si>
    <t>P.O. Box 891</t>
  </si>
  <si>
    <t>06-490-6634</t>
  </si>
  <si>
    <t>M G M Oil &amp; Gas Co</t>
  </si>
  <si>
    <t>1508 N Big Spring St</t>
  </si>
  <si>
    <t>79701-2620</t>
  </si>
  <si>
    <t>Greg Mauzy</t>
  </si>
  <si>
    <t xml:space="preserve">MICHAEL PIERCE                               </t>
  </si>
  <si>
    <t>P.O. Box 16555</t>
  </si>
  <si>
    <t>87191-655</t>
  </si>
  <si>
    <t>03-473-3536</t>
  </si>
  <si>
    <t>Michael L Pierce</t>
  </si>
  <si>
    <t>15 Sandia Heights Dr NE</t>
  </si>
  <si>
    <t>87122-2009</t>
  </si>
  <si>
    <t>MICHAEL PIERCE</t>
  </si>
  <si>
    <t>Mid-America Pipeline Company LLC</t>
  </si>
  <si>
    <t>14-523-7876</t>
  </si>
  <si>
    <t>Mid-America Pipeline Company, LLC</t>
  </si>
  <si>
    <t>1100 Louisiana St Ste 1000</t>
  </si>
  <si>
    <t>77002-7499</t>
  </si>
  <si>
    <t>J M Collingsworth</t>
  </si>
  <si>
    <t>04-821-0686</t>
  </si>
  <si>
    <t>Enterprise Products Company</t>
  </si>
  <si>
    <t>MidCon Compression LLC</t>
  </si>
  <si>
    <t>300 N Broadway</t>
  </si>
  <si>
    <t>Joshua</t>
  </si>
  <si>
    <t xml:space="preserve">MIDLAND OPERATING INC.                       </t>
  </si>
  <si>
    <t>P.O. Box 52308</t>
  </si>
  <si>
    <t>09-341-2548</t>
  </si>
  <si>
    <t>Midland Operating, Inc.</t>
  </si>
  <si>
    <t>3405 Choate Pl</t>
  </si>
  <si>
    <t>79707-4711</t>
  </si>
  <si>
    <t>Real estate investment trusts, nsk</t>
  </si>
  <si>
    <t>Real Estate Investment Trusts</t>
  </si>
  <si>
    <t>Real estate investment trusts</t>
  </si>
  <si>
    <t>Lessors of Residential Buildings and Dwellings</t>
  </si>
  <si>
    <t xml:space="preserve">MINEL INC                                    </t>
  </si>
  <si>
    <t>314 Woodcrest Dr.</t>
  </si>
  <si>
    <t>Richardson</t>
  </si>
  <si>
    <t>17-914-6378</t>
  </si>
  <si>
    <t>Minel, Inc</t>
  </si>
  <si>
    <t>314 Woodcrest Dr</t>
  </si>
  <si>
    <t>75080-1946</t>
  </si>
  <si>
    <t>john cayias</t>
  </si>
  <si>
    <t>Mitchell Energy</t>
  </si>
  <si>
    <t>PO Box 4000</t>
  </si>
  <si>
    <t>04-240-0689</t>
  </si>
  <si>
    <t>Mitchell Energy Corporation</t>
  </si>
  <si>
    <t>Sonora</t>
  </si>
  <si>
    <t>Morris Lewis</t>
  </si>
  <si>
    <t xml:space="preserve">MNA ENTERPRISES LTD CO                       </t>
  </si>
  <si>
    <t>106 W Alabama Street</t>
  </si>
  <si>
    <t>83-650-0512</t>
  </si>
  <si>
    <t>Mna Enterprises Ltd Co</t>
  </si>
  <si>
    <t>106 W Alabama St</t>
  </si>
  <si>
    <t>88242-8558</t>
  </si>
  <si>
    <t>Daniel M Alexander Mng Mbrs</t>
  </si>
  <si>
    <t>Mobil Exploration</t>
  </si>
  <si>
    <t>PO Box 633</t>
  </si>
  <si>
    <t>04-609-9065</t>
  </si>
  <si>
    <t>Mobil Oil Corporation</t>
  </si>
  <si>
    <t>500 W Illinois Ave</t>
  </si>
  <si>
    <t>79701-4234</t>
  </si>
  <si>
    <t>Jack Rathdone</t>
  </si>
  <si>
    <t xml:space="preserve">MOMENTUM OPERATING CO INC                    </t>
  </si>
  <si>
    <t>P. O. Box 2439</t>
  </si>
  <si>
    <t>Albany</t>
  </si>
  <si>
    <t>62-102-2664</t>
  </si>
  <si>
    <t>Momentum Operating Co., Inc.</t>
  </si>
  <si>
    <t>224 S Main St</t>
  </si>
  <si>
    <t>Michael J Parsons</t>
  </si>
  <si>
    <t xml:space="preserve">MORGAN OPERATING, INC.                       </t>
  </si>
  <si>
    <t xml:space="preserve">MORNINGSTAR PARTNERS, L.P.                   </t>
  </si>
  <si>
    <t>03-555-4744</t>
  </si>
  <si>
    <t>Morningstar Partners, L.P.</t>
  </si>
  <si>
    <t>400 W 7TH St</t>
  </si>
  <si>
    <t>76102-4701</t>
  </si>
  <si>
    <t>Connie Elaylock</t>
  </si>
  <si>
    <t>Administrative Assistant</t>
  </si>
  <si>
    <t xml:space="preserve">MOSS PETROLEUM CO                            </t>
  </si>
  <si>
    <t>2100 Ross Ave</t>
  </si>
  <si>
    <t>01-903-6729</t>
  </si>
  <si>
    <t>Pool Petroleum Corporation</t>
  </si>
  <si>
    <t>2100 Ross Ave Ste 2600</t>
  </si>
  <si>
    <t>75201-6705</t>
  </si>
  <si>
    <t>CARL POOL</t>
  </si>
  <si>
    <t>Farm-product raw materials, nec, nsk</t>
  </si>
  <si>
    <t>Farm-product Raw Materials, Nec</t>
  </si>
  <si>
    <t>Moss</t>
  </si>
  <si>
    <t>Other Farm Product Raw Material Merchant Wholesalers</t>
  </si>
  <si>
    <t xml:space="preserve">MULLOY OPERATING, INC.                       </t>
  </si>
  <si>
    <t>415 W Wall</t>
  </si>
  <si>
    <t>10-920-5591</t>
  </si>
  <si>
    <t>J W Mulloy Associates Inc</t>
  </si>
  <si>
    <t>Mulloy</t>
  </si>
  <si>
    <t>415 W Wall St Ste 200</t>
  </si>
  <si>
    <t>79701-4417</t>
  </si>
  <si>
    <t>J W Mulloy</t>
  </si>
  <si>
    <t>Industrial consultant</t>
  </si>
  <si>
    <t>Murchison Oil and Gas LLC</t>
  </si>
  <si>
    <t>5325 Sierra Vista</t>
  </si>
  <si>
    <t>Carlsbad</t>
  </si>
  <si>
    <t>00-489-0633</t>
  </si>
  <si>
    <t>Murchison Oil &amp; Gas Inc</t>
  </si>
  <si>
    <t>5325 Sierra Vista Dr</t>
  </si>
  <si>
    <t>88220-9427</t>
  </si>
  <si>
    <t>John D murchison Junior</t>
  </si>
  <si>
    <t>Mustang Resources LLC</t>
  </si>
  <si>
    <t>1660 Lincoln Street</t>
  </si>
  <si>
    <t>07-957-6173</t>
  </si>
  <si>
    <t>1660 Lincoln St Ste 1450</t>
  </si>
  <si>
    <t>80264-1401</t>
  </si>
  <si>
    <t>Chuck Dobie</t>
  </si>
  <si>
    <t>MW Petroleum Corp</t>
  </si>
  <si>
    <t>304 N Behrend</t>
  </si>
  <si>
    <t xml:space="preserve">MWS PRODUCING, INC.                          </t>
  </si>
  <si>
    <t>P. O. Box 100</t>
  </si>
  <si>
    <t>Stanton</t>
  </si>
  <si>
    <t>15-154-8484</t>
  </si>
  <si>
    <t>Mws Producing, Inc.</t>
  </si>
  <si>
    <t>W FM 3113</t>
  </si>
  <si>
    <t>Mike Swinson</t>
  </si>
  <si>
    <t xml:space="preserve">N M &amp; O OPERATING CO                         </t>
  </si>
  <si>
    <t xml:space="preserve">320 S Boston  </t>
  </si>
  <si>
    <t>Nalco Company</t>
  </si>
  <si>
    <t>PO Box 87</t>
  </si>
  <si>
    <t>Sugarland</t>
  </si>
  <si>
    <t>86-815-9013</t>
  </si>
  <si>
    <t>Nalco Energy Services, L.P.</t>
  </si>
  <si>
    <t>Nalco</t>
  </si>
  <si>
    <t>7705 Highway 90A</t>
  </si>
  <si>
    <t>Sugar Land</t>
  </si>
  <si>
    <t>77478-2121</t>
  </si>
  <si>
    <t>MARK L BOSANKO</t>
  </si>
  <si>
    <t>Chemicals and allied products, nec</t>
  </si>
  <si>
    <t>Chemicals and Allied Products, Nec</t>
  </si>
  <si>
    <t>Other Chemical and Allied Products Merchant Wholesalers</t>
  </si>
  <si>
    <t>08-112-3048</t>
  </si>
  <si>
    <t>Championx Corporation</t>
  </si>
  <si>
    <t>00-496-2403</t>
  </si>
  <si>
    <t>Championx LLC</t>
  </si>
  <si>
    <t>Natural Gas Pipeline Co of America</t>
  </si>
  <si>
    <t>370 Van Gordon Street</t>
  </si>
  <si>
    <t>Lakewood</t>
  </si>
  <si>
    <t>19-711-5116</t>
  </si>
  <si>
    <t>K N Natural Gas, Inc.</t>
  </si>
  <si>
    <t>370 Van Gordon St</t>
  </si>
  <si>
    <t>80228-1519</t>
  </si>
  <si>
    <t>Richard Kinder</t>
  </si>
  <si>
    <t>00-694-3500</t>
  </si>
  <si>
    <t>Kinder Morgan Kansas, Inc.</t>
  </si>
  <si>
    <t>Natural Gas Services Group</t>
  </si>
  <si>
    <t>2911 S. County Road 1260</t>
  </si>
  <si>
    <t xml:space="preserve">NAUMANN OIL &amp; GAS INC                        </t>
  </si>
  <si>
    <t>P.O. Box 1886</t>
  </si>
  <si>
    <t>55-672-3757</t>
  </si>
  <si>
    <t>Naumann Oil &amp; Gas Inc</t>
  </si>
  <si>
    <t>201 W Wall St Ste 540</t>
  </si>
  <si>
    <t>79701-4511</t>
  </si>
  <si>
    <t>Henry Jack Naumann Junior</t>
  </si>
  <si>
    <t>Nearburg Producing Company</t>
  </si>
  <si>
    <t>1819 N Turner</t>
  </si>
  <si>
    <t>New Mexico Gas Company (NMGC)</t>
  </si>
  <si>
    <t>PO Box 97500</t>
  </si>
  <si>
    <t>82-524-4697</t>
  </si>
  <si>
    <t>New Mexico Gas Company, Inc.</t>
  </si>
  <si>
    <t>7120 Wyoming Blvd NE Ste 20</t>
  </si>
  <si>
    <t>87109-4869</t>
  </si>
  <si>
    <t>Ryan Shell</t>
  </si>
  <si>
    <t>24-853-5390</t>
  </si>
  <si>
    <t>Emera Incorporated</t>
  </si>
  <si>
    <t>NS</t>
  </si>
  <si>
    <t>Canada</t>
  </si>
  <si>
    <t>04-829-5869</t>
  </si>
  <si>
    <t>Teco Energy, Inc.</t>
  </si>
  <si>
    <t>07-954-8183</t>
  </si>
  <si>
    <t>New Mexico Gas Intermediate, Inc.</t>
  </si>
  <si>
    <t>NGL Water Solutions Permian LLC</t>
  </si>
  <si>
    <t>3773 Cherry Creek North Dr</t>
  </si>
  <si>
    <t>05-303-8537</t>
  </si>
  <si>
    <t>NGL Water Solutions Dj, LLC</t>
  </si>
  <si>
    <t>3773 E Cherry Creek North Dr</t>
  </si>
  <si>
    <t>80209-3804</t>
  </si>
  <si>
    <t>James Burke</t>
  </si>
  <si>
    <t>Water softener service</t>
  </si>
  <si>
    <t>96-546-5086</t>
  </si>
  <si>
    <t>NGL Energy Partners LP</t>
  </si>
  <si>
    <t xml:space="preserve">NNOGC EXPLORATION AND PRODUCTION, LLC        </t>
  </si>
  <si>
    <t>1625 Broadway</t>
  </si>
  <si>
    <t>94-366-5000</t>
  </si>
  <si>
    <t>Noble Energy Production, Inc.</t>
  </si>
  <si>
    <t>1625 Broadway Ste 2000</t>
  </si>
  <si>
    <t>80202-4720</t>
  </si>
  <si>
    <t>Charles D Davidson</t>
  </si>
  <si>
    <t xml:space="preserve">NORDSTRAND ENGINEERING INC                   </t>
  </si>
  <si>
    <t>905 Kirby Drive</t>
  </si>
  <si>
    <t xml:space="preserve">North Fork Operating, LP                     </t>
  </si>
  <si>
    <t>1000 W. Wilshire Boulevard</t>
  </si>
  <si>
    <t>Nichols Hills</t>
  </si>
  <si>
    <t>12-185-5215</t>
  </si>
  <si>
    <t>North Fork Operating LP</t>
  </si>
  <si>
    <t>1000 W Wilshire Blvd Ste 311</t>
  </si>
  <si>
    <t>73116-7031</t>
  </si>
  <si>
    <t>Novo Oil and Gas Northern Delaware LLC</t>
  </si>
  <si>
    <t>1001 West Wilshire Blvd</t>
  </si>
  <si>
    <t>08-686-0291</t>
  </si>
  <si>
    <t>Novo Oil &amp; Gas</t>
  </si>
  <si>
    <t>1001 W Wilshire Blvd Ste 206</t>
  </si>
  <si>
    <t>73116-7058</t>
  </si>
  <si>
    <t xml:space="preserve">NOVY OIL &amp; GAS, INC                          </t>
  </si>
  <si>
    <t>PO Box 559</t>
  </si>
  <si>
    <t>Goddard</t>
  </si>
  <si>
    <t>KS</t>
  </si>
  <si>
    <t>92-634-8988</t>
  </si>
  <si>
    <t>Novy Oil &amp; Gas Inc</t>
  </si>
  <si>
    <t>651 S 247TH St W</t>
  </si>
  <si>
    <t>Kansas</t>
  </si>
  <si>
    <t>67052-9217</t>
  </si>
  <si>
    <t>Michael Novy</t>
  </si>
  <si>
    <t xml:space="preserve">NueVida Resources, LLC                       </t>
  </si>
  <si>
    <t>5950 Cedar Springs Road</t>
  </si>
  <si>
    <t xml:space="preserve">NUROC ENERGY INCORPORATED                    </t>
  </si>
  <si>
    <t>P.O. Box 907</t>
  </si>
  <si>
    <t>02-476-0543</t>
  </si>
  <si>
    <t>Nuroc Energy Inc</t>
  </si>
  <si>
    <t>Occidental Permian Limited</t>
  </si>
  <si>
    <t>5 Greenway Plaza</t>
  </si>
  <si>
    <t>79-595-6205</t>
  </si>
  <si>
    <t>Occidental Permian Ltd.</t>
  </si>
  <si>
    <t>5 Greenway Plz Ste 110</t>
  </si>
  <si>
    <t>77046-0521</t>
  </si>
  <si>
    <t>Tom Menges</t>
  </si>
  <si>
    <t xml:space="preserve">ONSHORE ROYALTIES, LLC                       </t>
  </si>
  <si>
    <t>PO BOX 2326</t>
  </si>
  <si>
    <t>VICTORIA</t>
  </si>
  <si>
    <t xml:space="preserve">ORBRIE LUMAN                                 </t>
  </si>
  <si>
    <t>1352 Pagewood Ave.</t>
  </si>
  <si>
    <t>Oryx Delaware Oil Transport LLC</t>
  </si>
  <si>
    <t>4000 N Big Spring St</t>
  </si>
  <si>
    <t>08-156-0180</t>
  </si>
  <si>
    <t>4000 N Big Spring St Ste 400</t>
  </si>
  <si>
    <t>79705-4613</t>
  </si>
  <si>
    <t>Oryx Midstream Services LLC</t>
  </si>
  <si>
    <t>PO Box 51492</t>
  </si>
  <si>
    <t>07-951-1954</t>
  </si>
  <si>
    <t>Bret Wiggs</t>
  </si>
  <si>
    <t xml:space="preserve">OSBORN HEIRS CO                              </t>
  </si>
  <si>
    <t>P.O. Box 17968</t>
  </si>
  <si>
    <t>05-511-7477</t>
  </si>
  <si>
    <t>Osborn Heirs Company, Ltd</t>
  </si>
  <si>
    <t>1250 NE Loop 410 Ste 1100</t>
  </si>
  <si>
    <t>78209-1525</t>
  </si>
  <si>
    <t>Albert Biedenharn</t>
  </si>
  <si>
    <t xml:space="preserve">OXY USA Inc </t>
  </si>
  <si>
    <t>80-040-0959</t>
  </si>
  <si>
    <t>OXY USA Inc.</t>
  </si>
  <si>
    <t>John W Morgan</t>
  </si>
  <si>
    <t>00-673-3514</t>
  </si>
  <si>
    <t xml:space="preserve">PARALLEL PETROLEUM LLC                       </t>
  </si>
  <si>
    <t>1004 N Big Spring</t>
  </si>
  <si>
    <t>02-193-7438</t>
  </si>
  <si>
    <t>Parallel Petroleum LLC</t>
  </si>
  <si>
    <t>1004 N Big Spring St Ste 400</t>
  </si>
  <si>
    <t>Michael Aduijo</t>
  </si>
  <si>
    <t>Parker &amp; Parsley</t>
  </si>
  <si>
    <t>600 W Illinois</t>
  </si>
  <si>
    <t>61-522-9879</t>
  </si>
  <si>
    <t>Parker &amp; Parsley, Ltd</t>
  </si>
  <si>
    <t>600 W Illinois Ave Ste 103</t>
  </si>
  <si>
    <t xml:space="preserve">PARRISH, H DWANE &amp; RHONDA K                  </t>
  </si>
  <si>
    <t>1306 S 9th St</t>
  </si>
  <si>
    <t>84-584-6752</t>
  </si>
  <si>
    <t>H Dwane Parrish</t>
  </si>
  <si>
    <t>1306 S 9TH St</t>
  </si>
  <si>
    <t>88210-2708</t>
  </si>
  <si>
    <t>Peak Compression Services Inc</t>
  </si>
  <si>
    <t>4705 Samantha Lane</t>
  </si>
  <si>
    <t>84-825-3352</t>
  </si>
  <si>
    <t>Peak Compresson Services, Inc.</t>
  </si>
  <si>
    <t>Peak Compresson</t>
  </si>
  <si>
    <t>89 Conestoga Way</t>
  </si>
  <si>
    <t>Hesperus</t>
  </si>
  <si>
    <t>81326-8800</t>
  </si>
  <si>
    <t>Randall Lefever</t>
  </si>
  <si>
    <t>Repair services, nec, nsk</t>
  </si>
  <si>
    <t>Compressor repair</t>
  </si>
  <si>
    <t>Pecos Production Co</t>
  </si>
  <si>
    <t xml:space="preserve">400 West Illinois </t>
  </si>
  <si>
    <t>00-217-8320</t>
  </si>
  <si>
    <t>Pecos Production Company</t>
  </si>
  <si>
    <t>400 W Illinois Ave Ste 1070</t>
  </si>
  <si>
    <t>79701-4639</t>
  </si>
  <si>
    <t>Steven D Gray</t>
  </si>
  <si>
    <t xml:space="preserve">PECOS RIVER OP INC                           </t>
  </si>
  <si>
    <t>PO Box 1755</t>
  </si>
  <si>
    <t xml:space="preserve">PENROC OIL CORP                              </t>
  </si>
  <si>
    <t>1515 Calle Sur</t>
  </si>
  <si>
    <t>00-585-7057</t>
  </si>
  <si>
    <t>Penroc Oil Corporation</t>
  </si>
  <si>
    <t>1515 W Calle Sur St Ste 101</t>
  </si>
  <si>
    <t>88240-1318</t>
  </si>
  <si>
    <t>Mohammed Merchant</t>
  </si>
  <si>
    <t>Hotels and Motels</t>
  </si>
  <si>
    <t>Hotels and motels</t>
  </si>
  <si>
    <t xml:space="preserve">PERMEX PETROLEUM COMPANY, LLC                </t>
  </si>
  <si>
    <t>5715 Willow Wood Ln</t>
  </si>
  <si>
    <t>Petroleum Exploration Company Ltd., Limited P</t>
  </si>
  <si>
    <t>P.O. Box 548</t>
  </si>
  <si>
    <t>Breckenridge</t>
  </si>
  <si>
    <t>96-612-3502</t>
  </si>
  <si>
    <t>Petroleum Exploration Company, Ltd.</t>
  </si>
  <si>
    <t>Petex</t>
  </si>
  <si>
    <t>220 W Elm St</t>
  </si>
  <si>
    <t>76424-3532</t>
  </si>
  <si>
    <t>Curtiss Mcclymond</t>
  </si>
  <si>
    <t xml:space="preserve">PETROLIA ENERGY CORPORATION                  </t>
  </si>
  <si>
    <t>710 N Post Oak Rd</t>
  </si>
  <si>
    <t>05-501-9423</t>
  </si>
  <si>
    <t>Petrolia Energy Corporation</t>
  </si>
  <si>
    <t>Petrolia</t>
  </si>
  <si>
    <t>710 N Post Oak Rd Ste 512</t>
  </si>
  <si>
    <t>77024-3852</t>
  </si>
  <si>
    <t>Zel C Khan</t>
  </si>
  <si>
    <t>Phillips 66 Pipeline LLC</t>
  </si>
  <si>
    <t>905 S. Fillmore St.</t>
  </si>
  <si>
    <t>06-657-9179</t>
  </si>
  <si>
    <t>Phillips 66</t>
  </si>
  <si>
    <t>905 S Fillmore St</t>
  </si>
  <si>
    <t>79101-3540</t>
  </si>
  <si>
    <t>Phillips Petroleum Co.</t>
  </si>
  <si>
    <t xml:space="preserve">5525 Hwy 64 </t>
  </si>
  <si>
    <t xml:space="preserve">PHOENIX HYDROCARBONS OPERATING CORP          </t>
  </si>
  <si>
    <t>P.O. Box 3638</t>
  </si>
  <si>
    <t>80-850-3288</t>
  </si>
  <si>
    <t>Phoenix Hydrocarbons Operating Corp</t>
  </si>
  <si>
    <t>808 W Wall St</t>
  </si>
  <si>
    <t>79701-6634</t>
  </si>
  <si>
    <t>Gregory F Baiano</t>
  </si>
  <si>
    <t xml:space="preserve">PIERCE PRODUCTION COMPANY, LLC               </t>
  </si>
  <si>
    <t>P.O. Box 1969</t>
  </si>
  <si>
    <t>07-838-7412</t>
  </si>
  <si>
    <t>Pierce Production Company, LLC</t>
  </si>
  <si>
    <t>Pierce Production</t>
  </si>
  <si>
    <t>700 Avenue L</t>
  </si>
  <si>
    <t>88231-9611</t>
  </si>
  <si>
    <t>Eugenia Pierce</t>
  </si>
  <si>
    <t xml:space="preserve">PITTS ENERGY CO                              </t>
  </si>
  <si>
    <t>600 N Marienfield, #101</t>
  </si>
  <si>
    <t xml:space="preserve">Plains Marketing LP </t>
  </si>
  <si>
    <t xml:space="preserve">PLAINS RADIO PET CO                          </t>
  </si>
  <si>
    <t>3317 Andrews Hwy</t>
  </si>
  <si>
    <t xml:space="preserve">PNL OPERATING, LLC                           </t>
  </si>
  <si>
    <t>P.O. Box 831</t>
  </si>
  <si>
    <t>Casper</t>
  </si>
  <si>
    <t>WY</t>
  </si>
  <si>
    <t>96-159-9797</t>
  </si>
  <si>
    <t>Pnl Operating LLC</t>
  </si>
  <si>
    <t>104 S Wolcott St Ste 823</t>
  </si>
  <si>
    <t>Wyoming</t>
  </si>
  <si>
    <t>82601-2556</t>
  </si>
  <si>
    <t>Paul Bertoglio</t>
  </si>
  <si>
    <t xml:space="preserve">POCO Resources LLC                           </t>
  </si>
  <si>
    <t>3307 E Castleberry Road</t>
  </si>
  <si>
    <t>06-733-0549</t>
  </si>
  <si>
    <t>Poco Resources LLC</t>
  </si>
  <si>
    <t>3307 E Castleberry Rd</t>
  </si>
  <si>
    <t>88210-9731</t>
  </si>
  <si>
    <t xml:space="preserve">PREMIER OIL &amp; GAS INC                        </t>
  </si>
  <si>
    <t>PO Box 837205</t>
  </si>
  <si>
    <t>05-816-8600</t>
  </si>
  <si>
    <t>Premier Oil &amp; Gas Inc</t>
  </si>
  <si>
    <t>422 W Main St</t>
  </si>
  <si>
    <t>88210-2084</t>
  </si>
  <si>
    <t>Rosalie Jones</t>
  </si>
  <si>
    <t xml:space="preserve">PRIDE ENERGY COMPANY                         </t>
  </si>
  <si>
    <t>P.O. Box 701950</t>
  </si>
  <si>
    <t>74170-1950</t>
  </si>
  <si>
    <t>04-058-9101</t>
  </si>
  <si>
    <t>Pride Energy Company</t>
  </si>
  <si>
    <t>4641 E 91ST St</t>
  </si>
  <si>
    <t>74137-2852</t>
  </si>
  <si>
    <t>Matthew L Pride</t>
  </si>
  <si>
    <t>Pride Pipeline</t>
  </si>
  <si>
    <t>3223 S Loop 289</t>
  </si>
  <si>
    <t>12-722-6207</t>
  </si>
  <si>
    <t>Pride Companies L P</t>
  </si>
  <si>
    <t>3223 S Loop 289 Ste 420</t>
  </si>
  <si>
    <t>79423-1346</t>
  </si>
  <si>
    <t>mike chase</t>
  </si>
  <si>
    <t xml:space="preserve">Prima Exploration, Inc.                      </t>
  </si>
  <si>
    <t>250 Fillmore Street</t>
  </si>
  <si>
    <t>02-747-0889</t>
  </si>
  <si>
    <t>Prima Exploration, Inc.</t>
  </si>
  <si>
    <t>250 Fillmore St Unit 500</t>
  </si>
  <si>
    <t>80206-5012</t>
  </si>
  <si>
    <t>Donald J Law</t>
  </si>
  <si>
    <t xml:space="preserve">PRIME OPERATING CO                           </t>
  </si>
  <si>
    <t>3300 N A Street</t>
  </si>
  <si>
    <t>78-723-8344</t>
  </si>
  <si>
    <t>Prime Operating Company</t>
  </si>
  <si>
    <t>3300 N A St Bldg 2-104</t>
  </si>
  <si>
    <t>79705-5445</t>
  </si>
  <si>
    <t>EARL LEVEA</t>
  </si>
  <si>
    <t>05-240-4121</t>
  </si>
  <si>
    <t xml:space="preserve">PRIMERO OPERATING INC                        </t>
  </si>
  <si>
    <t>P.O. Box 1433</t>
  </si>
  <si>
    <t>62-392-3869</t>
  </si>
  <si>
    <t>Primero Operating, Inc</t>
  </si>
  <si>
    <t>403 N Pennsylvania Ave</t>
  </si>
  <si>
    <t>88201-4752</t>
  </si>
  <si>
    <t>Phelps White</t>
  </si>
  <si>
    <t>Service well drilling</t>
  </si>
  <si>
    <t xml:space="preserve">P-R-O MANAGEMENT INC                         </t>
  </si>
  <si>
    <t xml:space="preserve">13601 PRESTON RD </t>
  </si>
  <si>
    <t>07-137-1769</t>
  </si>
  <si>
    <t>P-R-O Management Inc</t>
  </si>
  <si>
    <t>13601 Preston Rd Ste 309E</t>
  </si>
  <si>
    <t>75240-4933</t>
  </si>
  <si>
    <t>THOMAS R LAVERTY</t>
  </si>
  <si>
    <t>General management consultant</t>
  </si>
  <si>
    <t>Production Operators Inc</t>
  </si>
  <si>
    <t>4000 Lomas</t>
  </si>
  <si>
    <t>05-958-2511</t>
  </si>
  <si>
    <t>4000 Lomas St</t>
  </si>
  <si>
    <t>87401-3628</t>
  </si>
  <si>
    <t>MARK COPELAND</t>
  </si>
  <si>
    <t xml:space="preserve">PROVIDENCE ENERGY SERVS INC.-KELTON OP CORP  </t>
  </si>
  <si>
    <t>2408 Nw Mustang Dr.</t>
  </si>
  <si>
    <t>P.O. Box 928</t>
  </si>
  <si>
    <t>19-598-2280</t>
  </si>
  <si>
    <t>Providence Energy Services Inc</t>
  </si>
  <si>
    <t>1510 Heritage Blvd</t>
  </si>
  <si>
    <t>79714-2309</t>
  </si>
  <si>
    <t>Dale Kelton</t>
  </si>
  <si>
    <t xml:space="preserve">PURVIS OPERATING CO                          </t>
  </si>
  <si>
    <t>P.O. Box 51990</t>
  </si>
  <si>
    <t>06-421-4703</t>
  </si>
  <si>
    <t>Purvis Operating Co.</t>
  </si>
  <si>
    <t>3101 N Pecos St</t>
  </si>
  <si>
    <t>79705-5341</t>
  </si>
  <si>
    <t>James H Purvis</t>
  </si>
  <si>
    <t xml:space="preserve">QUATRO OSOS E&amp;P, LLC                         </t>
  </si>
  <si>
    <t>1742 Calle La Placita</t>
  </si>
  <si>
    <t>P.O. Box 1213</t>
  </si>
  <si>
    <t>Lincoln</t>
  </si>
  <si>
    <t xml:space="preserve">RAM ENERGY LLC                               </t>
  </si>
  <si>
    <t>5100 East Skelly Drive</t>
  </si>
  <si>
    <t>06-040-0044</t>
  </si>
  <si>
    <t>Ram Energy, Inc.</t>
  </si>
  <si>
    <t>5100 E Skelly Dr Ste 650</t>
  </si>
  <si>
    <t>74135-6559</t>
  </si>
  <si>
    <t>Larry Lee</t>
  </si>
  <si>
    <t>Rangeland NM, LLC</t>
  </si>
  <si>
    <t>71 Potash Mine Rd</t>
  </si>
  <si>
    <t>PO Box 721</t>
  </si>
  <si>
    <t>Loving</t>
  </si>
  <si>
    <t xml:space="preserve">RANGER 40 PETROLEUM, LLC                     </t>
  </si>
  <si>
    <t>244 FM 306</t>
  </si>
  <si>
    <t>New Braunfels</t>
  </si>
  <si>
    <t xml:space="preserve">RAY A PIERCE                                 </t>
  </si>
  <si>
    <t xml:space="preserve">RAY WESTALL OPERATING, INC.                  </t>
  </si>
  <si>
    <t>P.O. Box 4</t>
  </si>
  <si>
    <t>Loco Hills</t>
  </si>
  <si>
    <t>60-515-1752</t>
  </si>
  <si>
    <t>Ray Westall Operating, Inc</t>
  </si>
  <si>
    <t>132447 Hwy 82</t>
  </si>
  <si>
    <t>Ray Westall</t>
  </si>
  <si>
    <t>Security brokers and dealers, nsk</t>
  </si>
  <si>
    <t xml:space="preserve">READ &amp; STEVENS INC                           </t>
  </si>
  <si>
    <t>P.O. Box 1518</t>
  </si>
  <si>
    <t>04-892-5812</t>
  </si>
  <si>
    <t>Read &amp; Stevens Inc</t>
  </si>
  <si>
    <t>400 N Pennsylvania Ave Ste 1000</t>
  </si>
  <si>
    <t>88201-4780</t>
  </si>
  <si>
    <t>charles b read</t>
  </si>
  <si>
    <t xml:space="preserve">REDWOLF PRODUCTION INC                       </t>
  </si>
  <si>
    <t>P.O. Box 5382</t>
  </si>
  <si>
    <t>80-088-4389</t>
  </si>
  <si>
    <t>Redwolf Production, Inc.</t>
  </si>
  <si>
    <t>1920 Rustic Pl</t>
  </si>
  <si>
    <t>87401-3801</t>
  </si>
  <si>
    <t>Bruce Delventhal</t>
  </si>
  <si>
    <t xml:space="preserve">REGENERATION ENERGY, CORPORATION             </t>
  </si>
  <si>
    <t>P.O. Box 210</t>
  </si>
  <si>
    <t>07-155-6902</t>
  </si>
  <si>
    <t>Regeneration Energy Corp.</t>
  </si>
  <si>
    <t>324 W Main St Ste 107</t>
  </si>
  <si>
    <t>88210-2189</t>
  </si>
  <si>
    <t>Raye P Miller</t>
  </si>
  <si>
    <t xml:space="preserve">REGINA OIL &amp; GAS LLC                         </t>
  </si>
  <si>
    <t>P.O. Box 331</t>
  </si>
  <si>
    <t>Regina</t>
  </si>
  <si>
    <t>96-597-4582</t>
  </si>
  <si>
    <t>Regina Oil &amp; Gas LLC</t>
  </si>
  <si>
    <t>Old 20 Lindrith Highway</t>
  </si>
  <si>
    <t>Don Evans</t>
  </si>
  <si>
    <t xml:space="preserve">RELIABLE PRODUCTION LLC                      </t>
  </si>
  <si>
    <t>407 Ouray Ave</t>
  </si>
  <si>
    <t>02-206-3372</t>
  </si>
  <si>
    <t>Reliable Production, LLC</t>
  </si>
  <si>
    <t>87401-4602</t>
  </si>
  <si>
    <t>Motion picture and tape distribution, nsk</t>
  </si>
  <si>
    <t>Motion Picture and Tape Distribution</t>
  </si>
  <si>
    <t>Motion picture and tape distribution</t>
  </si>
  <si>
    <t>Motion Picture and Video Distribution</t>
  </si>
  <si>
    <t xml:space="preserve">RELIANCE ENERGY, INC.                        </t>
  </si>
  <si>
    <t>300 N. Marienfeld</t>
  </si>
  <si>
    <t>18-757-4173</t>
  </si>
  <si>
    <t>Reliance Energy, Inc.</t>
  </si>
  <si>
    <t>300 N Marienfeld St Ste 1100</t>
  </si>
  <si>
    <t>79701-4384</t>
  </si>
  <si>
    <t>Gary Mckinny</t>
  </si>
  <si>
    <t xml:space="preserve">REMNANT OIL OPERATING, LLC                   </t>
  </si>
  <si>
    <t>P.O. Box 5375</t>
  </si>
  <si>
    <t>06-516-0946</t>
  </si>
  <si>
    <t>Remnant Oil Company LLC</t>
  </si>
  <si>
    <t>6 Desta Dr Ste 5100</t>
  </si>
  <si>
    <t>79705-5574</t>
  </si>
  <si>
    <t>Everett Gray</t>
  </si>
  <si>
    <t xml:space="preserve">RHOMBUS OPERATING CO LTD                     </t>
  </si>
  <si>
    <t>P. O. Box 627</t>
  </si>
  <si>
    <t>01-801-7737</t>
  </si>
  <si>
    <t>Rhombus Operating Co., Ltd.</t>
  </si>
  <si>
    <t>532 Milwaukee St</t>
  </si>
  <si>
    <t>80206-4334</t>
  </si>
  <si>
    <t>ALAN BOYD</t>
  </si>
  <si>
    <t>Accountant</t>
  </si>
  <si>
    <t>Water, sewer, and utility lines</t>
  </si>
  <si>
    <t>Water, Sewer, and Utility Lines</t>
  </si>
  <si>
    <t>Oil and gas pipeline construction</t>
  </si>
  <si>
    <t xml:space="preserve">RICE OIL CO                                  </t>
  </si>
  <si>
    <t>PO Box 1486</t>
  </si>
  <si>
    <t xml:space="preserve">RICHARDSON OPERATING CO                      </t>
  </si>
  <si>
    <t>4601 DTC Boulevard</t>
  </si>
  <si>
    <t>01-625-8579</t>
  </si>
  <si>
    <t>Richardson Operating Company</t>
  </si>
  <si>
    <t>4601 Dtc Blvd Ste 725</t>
  </si>
  <si>
    <t>80237-7528</t>
  </si>
  <si>
    <t>David Richardson</t>
  </si>
  <si>
    <t xml:space="preserve">RIDGE RUNNER RESOURCES OPERATING, LLC        </t>
  </si>
  <si>
    <t>1004 N. Big Spring Street</t>
  </si>
  <si>
    <t>01-642-9366</t>
  </si>
  <si>
    <t>Ridge Runner Resources</t>
  </si>
  <si>
    <t>4000 N Big Spring St Ste 210</t>
  </si>
  <si>
    <t>79705-4639</t>
  </si>
  <si>
    <t xml:space="preserve">RIDGEWAY ARIZONA OIL CORP.                   </t>
  </si>
  <si>
    <t>Riley Permian Operating Company LLC</t>
  </si>
  <si>
    <t>29 E Reno</t>
  </si>
  <si>
    <t>08-069-9856</t>
  </si>
  <si>
    <t>Riley Permian Operating Company, LLC</t>
  </si>
  <si>
    <t>29 E Reno Ave Ste 5</t>
  </si>
  <si>
    <t>73104-4238</t>
  </si>
  <si>
    <t>Kevin Riley</t>
  </si>
  <si>
    <t>08-070-1042</t>
  </si>
  <si>
    <t>Riley Exploration - Permian, LLC</t>
  </si>
  <si>
    <t xml:space="preserve">RIM OPERATING, INC.                          </t>
  </si>
  <si>
    <t>5 Inverness Drive East</t>
  </si>
  <si>
    <t>85-918-1547</t>
  </si>
  <si>
    <t>Rim Operating, Inc.</t>
  </si>
  <si>
    <t>Rim Companies , The</t>
  </si>
  <si>
    <t>5 Inverness Dr E</t>
  </si>
  <si>
    <t>80112-5519</t>
  </si>
  <si>
    <t>V A Isaaca</t>
  </si>
  <si>
    <t xml:space="preserve">Ring Energy, Inc                             </t>
  </si>
  <si>
    <t>P.O. Box 11350</t>
  </si>
  <si>
    <t>07-877-8568</t>
  </si>
  <si>
    <t>Ring Energy Inc.</t>
  </si>
  <si>
    <t>901 W Wall St FL 3</t>
  </si>
  <si>
    <t>79701-6673</t>
  </si>
  <si>
    <t>Kelly Hoffman</t>
  </si>
  <si>
    <t>Rising Star Energy</t>
  </si>
  <si>
    <t>3710 Rawlins St</t>
  </si>
  <si>
    <t>11-713-8365</t>
  </si>
  <si>
    <t>Rising Star Energy Partners, L.L.C.</t>
  </si>
  <si>
    <t>3710 Rawlins St Ste 1420</t>
  </si>
  <si>
    <t>75219-4296</t>
  </si>
  <si>
    <t>JASON T MALOY</t>
  </si>
  <si>
    <t xml:space="preserve">RMR OPERATING, LLC                           </t>
  </si>
  <si>
    <t>07-936-6129</t>
  </si>
  <si>
    <t>RMR Operating LLC</t>
  </si>
  <si>
    <t>14282 Gillis Rd</t>
  </si>
  <si>
    <t>75244-3715</t>
  </si>
  <si>
    <t>Alan W Barksdale</t>
  </si>
  <si>
    <t xml:space="preserve">ROBERT H FORREST JR OIL LLC                  </t>
  </si>
  <si>
    <t>609 Elora Dr.</t>
  </si>
  <si>
    <t>79-971-7673</t>
  </si>
  <si>
    <t>Forrest, Robert H Jr Oil LLC</t>
  </si>
  <si>
    <t>609 Elora Dr</t>
  </si>
  <si>
    <t>Robert Forrest Junior</t>
  </si>
  <si>
    <t>Robert L Bayless Producer LLC</t>
  </si>
  <si>
    <t>PO Box 168</t>
  </si>
  <si>
    <t>03-573-7204</t>
  </si>
  <si>
    <t>Robert L Bayless, Producer LLC</t>
  </si>
  <si>
    <t>2700 Farmington Ave Bldg F</t>
  </si>
  <si>
    <t>87401-4559</t>
  </si>
  <si>
    <t>Robert L Bayless Junior</t>
  </si>
  <si>
    <t xml:space="preserve">ROBERTSON RESOURCES, INC                     </t>
  </si>
  <si>
    <t>P.O. Box 9415</t>
  </si>
  <si>
    <t>87-296-7393</t>
  </si>
  <si>
    <t>Robertson Resources Inc</t>
  </si>
  <si>
    <t>200 N Loraine St Ste 1100</t>
  </si>
  <si>
    <t>79701-4788</t>
  </si>
  <si>
    <t>Phillip Robertson</t>
  </si>
  <si>
    <t xml:space="preserve">ROBERTSON-BRYCE MANAGEMENT, LLC              </t>
  </si>
  <si>
    <t>3650 Old Bullard Road</t>
  </si>
  <si>
    <t>16-001-4150</t>
  </si>
  <si>
    <t>Robertson-Bryce Management LLC</t>
  </si>
  <si>
    <t>3650 Old Bullard Rd</t>
  </si>
  <si>
    <t>75701-8660</t>
  </si>
  <si>
    <t>BRYCE ROBERTSON</t>
  </si>
  <si>
    <t xml:space="preserve">ROCA OPERATING, INC.                         </t>
  </si>
  <si>
    <t>P.O. Box 1981</t>
  </si>
  <si>
    <t>94-059-0094</t>
  </si>
  <si>
    <t>Roca Resource Company Inc</t>
  </si>
  <si>
    <t>414 W Texas Ave Ste 316</t>
  </si>
  <si>
    <t>79701-4419</t>
  </si>
  <si>
    <t>Doug R Hillman</t>
  </si>
  <si>
    <t xml:space="preserve">ROCK CREEK RESOURCES, LLC                    </t>
  </si>
  <si>
    <t>9781 S. Meridian Blvd.</t>
  </si>
  <si>
    <t>07-870-9559</t>
  </si>
  <si>
    <t>Rock Creek Resources, LLC</t>
  </si>
  <si>
    <t>9781 S Meridian Blvd Ste 300</t>
  </si>
  <si>
    <t>80112-5933</t>
  </si>
  <si>
    <t>Stephen K Frazier</t>
  </si>
  <si>
    <t xml:space="preserve">RODDY PRODUCTION CO INC                      </t>
  </si>
  <si>
    <t>08-025-1921</t>
  </si>
  <si>
    <t>Roddy Production Company, LLC</t>
  </si>
  <si>
    <t>2600 Farmington Ave</t>
  </si>
  <si>
    <t>87401-4507</t>
  </si>
  <si>
    <t>KENNETH RODDY</t>
  </si>
  <si>
    <t xml:space="preserve">ROGER SLAYTON DBA ESCUDILLA OIL COMPANY      </t>
  </si>
  <si>
    <t>P.O. Box 687</t>
  </si>
  <si>
    <t xml:space="preserve">ROVER OPERATING, LLC                         </t>
  </si>
  <si>
    <t>17304 Preston Road</t>
  </si>
  <si>
    <t>08-064-3939</t>
  </si>
  <si>
    <t>Rover Operating, LLC</t>
  </si>
  <si>
    <t>Rover Petroleum Operating</t>
  </si>
  <si>
    <t>17304 Preston Rd Ste 740</t>
  </si>
  <si>
    <t>75252-4645</t>
  </si>
  <si>
    <t>Gases and liquefied petroleum gases</t>
  </si>
  <si>
    <t xml:space="preserve">RUBICON OIL &amp; GAS, LLC                       </t>
  </si>
  <si>
    <t>508 W Wall Avenue</t>
  </si>
  <si>
    <t>00-495-6954</t>
  </si>
  <si>
    <t>Rubicon Oil &amp; Gas, LLC</t>
  </si>
  <si>
    <t>508 W Wall St Ste 1000</t>
  </si>
  <si>
    <t>79701-5003</t>
  </si>
  <si>
    <t>James W Orseth</t>
  </si>
  <si>
    <t xml:space="preserve">RUST OIL CORP                                </t>
  </si>
  <si>
    <t>02-193-1548</t>
  </si>
  <si>
    <t>Rust Oil Corporation</t>
  </si>
  <si>
    <t>6300 Ridglea Pl Ste 904</t>
  </si>
  <si>
    <t>76116-5735</t>
  </si>
  <si>
    <t>Charles B Rust</t>
  </si>
  <si>
    <t xml:space="preserve">S &amp; J OIL &amp; GAS CO                           </t>
  </si>
  <si>
    <t>06-942-1071</t>
  </si>
  <si>
    <t>S &amp; J Oil &amp; Gas Company</t>
  </si>
  <si>
    <t>jerry sandel</t>
  </si>
  <si>
    <t>Saba Energy</t>
  </si>
  <si>
    <t>83-278-9502</t>
  </si>
  <si>
    <t>Alamo Energy Corp.</t>
  </si>
  <si>
    <t>3000 Wilcrest Dr Ste 220</t>
  </si>
  <si>
    <t>77042-3390</t>
  </si>
  <si>
    <t>Allan Millmaker</t>
  </si>
  <si>
    <t xml:space="preserve">Sabinal Energy Operating, LLC                </t>
  </si>
  <si>
    <t>1780 HUGHES LANDING BLVD</t>
  </si>
  <si>
    <t>THE WOODLANDS</t>
  </si>
  <si>
    <t>08-086-8440</t>
  </si>
  <si>
    <t>Sabinal Energy Operating, LLC</t>
  </si>
  <si>
    <t>1780 Hughes Landing Blvd Ste 1200</t>
  </si>
  <si>
    <t>Spring</t>
  </si>
  <si>
    <t>77380-4024</t>
  </si>
  <si>
    <t>BRET JAMESON</t>
  </si>
  <si>
    <t xml:space="preserve">SABRE OP INC                                 </t>
  </si>
  <si>
    <t>P.O. Box 4848</t>
  </si>
  <si>
    <t>15-153-8329</t>
  </si>
  <si>
    <t>Sabre Exploration Inc</t>
  </si>
  <si>
    <t>2663 Plaza Pkwy</t>
  </si>
  <si>
    <t>76308-2906</t>
  </si>
  <si>
    <t>ron jackson</t>
  </si>
  <si>
    <t xml:space="preserve">SAGEBRUSH OIL INC.                           </t>
  </si>
  <si>
    <t>409 S Lead St</t>
  </si>
  <si>
    <t>Deming</t>
  </si>
  <si>
    <t xml:space="preserve">Saguaro Petroleum, LLC                       </t>
  </si>
  <si>
    <t>1509 W Wall St., Ste. 100</t>
  </si>
  <si>
    <t>06-746-3188</t>
  </si>
  <si>
    <t>Saguaro Petroleum, LLC</t>
  </si>
  <si>
    <t>1509 W Wall St Ste 100</t>
  </si>
  <si>
    <t>79701-6576</t>
  </si>
  <si>
    <t>Toben Scott</t>
  </si>
  <si>
    <t xml:space="preserve">SAHARA OPERATING CO                          </t>
  </si>
  <si>
    <t>P.O. Box 4130</t>
  </si>
  <si>
    <t>62-077-5502</t>
  </si>
  <si>
    <t>Sahara Operating Company</t>
  </si>
  <si>
    <t>306 W Wall St Ste 1025</t>
  </si>
  <si>
    <t>79701-5105</t>
  </si>
  <si>
    <t>ROB MCALPINE</t>
  </si>
  <si>
    <t xml:space="preserve">Salt Creek Midstream LLC </t>
  </si>
  <si>
    <t>6 Desta Drive</t>
  </si>
  <si>
    <t>10-623-1878</t>
  </si>
  <si>
    <t>Targa Midstream Service</t>
  </si>
  <si>
    <t>6 Desta Dr</t>
  </si>
  <si>
    <t>79705-5520</t>
  </si>
  <si>
    <t>Gas production and/or distribution, nsk</t>
  </si>
  <si>
    <t>Gas Production and/or Distribution</t>
  </si>
  <si>
    <t>Gas production and/or distribution</t>
  </si>
  <si>
    <t>Samson Resources</t>
  </si>
  <si>
    <t>2 West Second St</t>
  </si>
  <si>
    <t>05-594-3096</t>
  </si>
  <si>
    <t>Samson Resources Company</t>
  </si>
  <si>
    <t>Samson Contour</t>
  </si>
  <si>
    <t>2 W 2ND St</t>
  </si>
  <si>
    <t>74103-3103</t>
  </si>
  <si>
    <t>Randy Limbacher</t>
  </si>
  <si>
    <t>07-883-0520</t>
  </si>
  <si>
    <t>Samson Resources Corporation</t>
  </si>
  <si>
    <t>15-352-0663</t>
  </si>
  <si>
    <t>Samson Investment Company</t>
  </si>
  <si>
    <t xml:space="preserve">SAMUEL DALE HUGHES DBA HUGHES DRILLING CO.   </t>
  </si>
  <si>
    <t>2409 W Centre</t>
  </si>
  <si>
    <t xml:space="preserve">SAN JUAN RESOURCES, INC.                     </t>
  </si>
  <si>
    <t>P.O. Box 159</t>
  </si>
  <si>
    <t xml:space="preserve">SAN MARCO PETROLEUM INC.                     </t>
  </si>
  <si>
    <t>240 Milwaukee</t>
  </si>
  <si>
    <t>15-804-7027</t>
  </si>
  <si>
    <t>San Marco Petroleum Inc</t>
  </si>
  <si>
    <t>240 Milwaukee St 200</t>
  </si>
  <si>
    <t>80206-5006</t>
  </si>
  <si>
    <t>John F Sheridan</t>
  </si>
  <si>
    <t>San Mateo Midstream II, LLC</t>
  </si>
  <si>
    <t>08-156-0210</t>
  </si>
  <si>
    <t>San Mateo Midstream, LLC</t>
  </si>
  <si>
    <t>Matthew D Spicer</t>
  </si>
  <si>
    <t>07-838-4474</t>
  </si>
  <si>
    <t>Matador Resources Company</t>
  </si>
  <si>
    <t xml:space="preserve">SANDLOTT ENERGY (JACKIE BREWER DBA)          </t>
  </si>
  <si>
    <t>P.O. Box 711</t>
  </si>
  <si>
    <t>87-898-0986</t>
  </si>
  <si>
    <t>Brewer, Jackie L &amp; Angela S</t>
  </si>
  <si>
    <t>Sandlott Energy</t>
  </si>
  <si>
    <t>2218 W Avenue D</t>
  </si>
  <si>
    <t>88260-8653</t>
  </si>
  <si>
    <t>Jackie Brewer</t>
  </si>
  <si>
    <t xml:space="preserve">SANTO PETROLEUM LLC                          </t>
  </si>
  <si>
    <t>P.O. Box 1020</t>
  </si>
  <si>
    <t>02-622-5640</t>
  </si>
  <si>
    <t>Santo Petroleum LLC</t>
  </si>
  <si>
    <t>101 S 4TH St Ste B</t>
  </si>
  <si>
    <t>88210-2139</t>
  </si>
  <si>
    <t>Hanson YATES</t>
  </si>
  <si>
    <t xml:space="preserve">SAXET OIL CORPORATION                        </t>
  </si>
  <si>
    <t>P.O. Box 187</t>
  </si>
  <si>
    <t>05-946-9353</t>
  </si>
  <si>
    <t>Saxet Oil Corporation</t>
  </si>
  <si>
    <t>505 N Big Spring St</t>
  </si>
  <si>
    <t>79701-4301</t>
  </si>
  <si>
    <t>James A Walton</t>
  </si>
  <si>
    <t xml:space="preserve">SCHALK DEVELOPMENT CO                        </t>
  </si>
  <si>
    <t>92-985-6938</t>
  </si>
  <si>
    <t>Schalk Development Company</t>
  </si>
  <si>
    <t>3232 Candelaria Rd NE</t>
  </si>
  <si>
    <t>87107-1907</t>
  </si>
  <si>
    <t>Steve Schalk</t>
  </si>
  <si>
    <t xml:space="preserve">SCYTHIAN LTD                                 </t>
  </si>
  <si>
    <t>300 N Marienfeld</t>
  </si>
  <si>
    <t>02-955-4677</t>
  </si>
  <si>
    <t>Scythian Energy, Ltd</t>
  </si>
  <si>
    <t>300 N Marienfeld St Ste 950</t>
  </si>
  <si>
    <t>79701-4390</t>
  </si>
  <si>
    <t>Jafar Salehi</t>
  </si>
  <si>
    <t>Managing Partner</t>
  </si>
  <si>
    <t xml:space="preserve">SEELY OIL CO                                 </t>
  </si>
  <si>
    <t>815 W 10th St.</t>
  </si>
  <si>
    <t>02-034-1103</t>
  </si>
  <si>
    <t>Seely Oil Company</t>
  </si>
  <si>
    <t>815 W 10TH St</t>
  </si>
  <si>
    <t>76102-3528</t>
  </si>
  <si>
    <t>Charles W Seely</t>
  </si>
  <si>
    <t xml:space="preserve">SEGURO OIL AND GAS, LLC                      </t>
  </si>
  <si>
    <t>407 N Big Spring St, Ste 215</t>
  </si>
  <si>
    <t>P.O. Box 3176</t>
  </si>
  <si>
    <t>08-043-2232</t>
  </si>
  <si>
    <t>Seguro Oil and Gas, LLC</t>
  </si>
  <si>
    <t>407 N Big Spring St</t>
  </si>
  <si>
    <t>79701-4326</t>
  </si>
  <si>
    <t>Paul Anderson</t>
  </si>
  <si>
    <t xml:space="preserve">SELLERS&amp;FULTON OIL LLC                       </t>
  </si>
  <si>
    <t>422 W Main Suite 5</t>
  </si>
  <si>
    <t>Sendero Carlsbad Midstream, LLC</t>
  </si>
  <si>
    <t>1000 Louisiana St</t>
  </si>
  <si>
    <t>08-105-5326</t>
  </si>
  <si>
    <t>1000 Louisiana St Ste 6900</t>
  </si>
  <si>
    <t>77002-5037</t>
  </si>
  <si>
    <t>BRAD BOISTER</t>
  </si>
  <si>
    <t>SG Interests l Ltd</t>
  </si>
  <si>
    <t>PO Box 2677</t>
  </si>
  <si>
    <t>05-038-3648</t>
  </si>
  <si>
    <t>Sg Interests</t>
  </si>
  <si>
    <t>922 E 2ND Ave</t>
  </si>
  <si>
    <t>81301-5111</t>
  </si>
  <si>
    <t xml:space="preserve">SHACKELFORD OIL CO                           </t>
  </si>
  <si>
    <t>P.O. Box 10665</t>
  </si>
  <si>
    <t>92-674-1307</t>
  </si>
  <si>
    <t>Shackelford Oil Company</t>
  </si>
  <si>
    <t>203 W Wall St Ste 200</t>
  </si>
  <si>
    <t>79701-4510</t>
  </si>
  <si>
    <t>Don G Shackelford</t>
  </si>
  <si>
    <t>Sheridan Production Company, LLC</t>
  </si>
  <si>
    <t>1360 Post Oak Blvd</t>
  </si>
  <si>
    <t>80-021-0283</t>
  </si>
  <si>
    <t>Sheridan Production Company LLC</t>
  </si>
  <si>
    <t>1360 Post Oak Blvd Ste 2500</t>
  </si>
  <si>
    <t>77056-3049</t>
  </si>
  <si>
    <t>Lisa A Stewart</t>
  </si>
  <si>
    <t xml:space="preserve">SHINNERY OIL COMPANY, INC                    </t>
  </si>
  <si>
    <t xml:space="preserve">606 W Tennessee Ave </t>
  </si>
  <si>
    <t>79701-4260</t>
  </si>
  <si>
    <t>18-706-4688</t>
  </si>
  <si>
    <t>Shinnery Oil Company Inc</t>
  </si>
  <si>
    <t>606 W Tennessee Ave Ste 107</t>
  </si>
  <si>
    <t>Jack Hood</t>
  </si>
  <si>
    <t xml:space="preserve">Shiprock Midstream, LLC DBA Whiptail Midstream </t>
  </si>
  <si>
    <t>15 West 6th Street</t>
  </si>
  <si>
    <t>08-064-3258</t>
  </si>
  <si>
    <t>Shiprock Midstream LLC</t>
  </si>
  <si>
    <t>Whiptail Midstream</t>
  </si>
  <si>
    <t>15 W 6TH St Ste 2901</t>
  </si>
  <si>
    <t>74119-5423</t>
  </si>
  <si>
    <t>Josh Lamberton</t>
  </si>
  <si>
    <t xml:space="preserve">SHORELINE OIL &amp; GAS COMPANY                  </t>
  </si>
  <si>
    <t>08-131-9358</t>
  </si>
  <si>
    <t>Shoreline Oil &amp; Gas Company</t>
  </si>
  <si>
    <t xml:space="preserve">SIMCOE LLC                                   </t>
  </si>
  <si>
    <t>1199 Main Ave.</t>
  </si>
  <si>
    <t>11-770-8217</t>
  </si>
  <si>
    <t>SIMCOE LLC</t>
  </si>
  <si>
    <t>1199 Main Ave Ste 242</t>
  </si>
  <si>
    <t>81301-5171</t>
  </si>
  <si>
    <t xml:space="preserve">SLAYTON RESOURCES INC                        </t>
  </si>
  <si>
    <t>P.O. Box 2035</t>
  </si>
  <si>
    <t>05-820-0619</t>
  </si>
  <si>
    <t>Slayton Resources Inc</t>
  </si>
  <si>
    <t>704 E College Blvd</t>
  </si>
  <si>
    <t>88201-7531</t>
  </si>
  <si>
    <t>Paul Slayton</t>
  </si>
  <si>
    <t>SMC Oil and Gas Inc</t>
  </si>
  <si>
    <t>PO Box 50907</t>
  </si>
  <si>
    <t>13-956-4116</t>
  </si>
  <si>
    <t>SMC Oil &amp; Gas Inc</t>
  </si>
  <si>
    <t>2709 N Big Spring St Ste 201</t>
  </si>
  <si>
    <t>79705-6729</t>
  </si>
  <si>
    <t>Steve Coulon</t>
  </si>
  <si>
    <t xml:space="preserve">SNOW OIL &amp; GAS INC                           </t>
  </si>
  <si>
    <t>P.O. Box 1277</t>
  </si>
  <si>
    <t>60-106-0080</t>
  </si>
  <si>
    <t>Snow Oil &amp; Gas, Inc.</t>
  </si>
  <si>
    <t>818 E Broadway St</t>
  </si>
  <si>
    <t>79714-6612</t>
  </si>
  <si>
    <t>D W Snow</t>
  </si>
  <si>
    <t xml:space="preserve">SNOW OPERATING CO INC                        </t>
  </si>
  <si>
    <t>6300 Midway Rd</t>
  </si>
  <si>
    <t>Haltom City</t>
  </si>
  <si>
    <t>10-248-1793</t>
  </si>
  <si>
    <t>Snow Operating Co Inc</t>
  </si>
  <si>
    <t>76117-5344</t>
  </si>
  <si>
    <t>gene snow</t>
  </si>
  <si>
    <t xml:space="preserve">Southbound Gas Company                       </t>
  </si>
  <si>
    <t>1909 Woodall Rodgers Freeway</t>
  </si>
  <si>
    <t>05-265-3419</t>
  </si>
  <si>
    <t>Southbound Gas Company</t>
  </si>
  <si>
    <t>1909 Woodall Rodgers Fwy # 3</t>
  </si>
  <si>
    <t>75201-2232</t>
  </si>
  <si>
    <t>Lucien J Tujague Junior</t>
  </si>
  <si>
    <t>Southland Royalty Company, LLC</t>
  </si>
  <si>
    <t>400 W 7th St</t>
  </si>
  <si>
    <t>08-595-8733</t>
  </si>
  <si>
    <t>Southland Royalty Company LLC</t>
  </si>
  <si>
    <t>Keith A Hutton</t>
  </si>
  <si>
    <t>South-Tex Treaters</t>
  </si>
  <si>
    <t>8180 Lakeview Center</t>
  </si>
  <si>
    <t xml:space="preserve">SOUTHWEST ROYALTIES INC                      </t>
  </si>
  <si>
    <t>P O BOX 53570</t>
  </si>
  <si>
    <t>11-877-4025</t>
  </si>
  <si>
    <t>Southwest Royalties, Inc.</t>
  </si>
  <si>
    <t>6 Desta Dr Ste 2100</t>
  </si>
  <si>
    <t>79705-5556</t>
  </si>
  <si>
    <t>Mel G Riggs</t>
  </si>
  <si>
    <t>Chief Operating Officer</t>
  </si>
  <si>
    <t>Oil royalties dealers</t>
  </si>
  <si>
    <t>00-138-2555</t>
  </si>
  <si>
    <t>Chevron Corporation</t>
  </si>
  <si>
    <t>05-887-0445</t>
  </si>
  <si>
    <t>Nbl Permian LLC</t>
  </si>
  <si>
    <t xml:space="preserve">Sozo Natural Resources LLC                   </t>
  </si>
  <si>
    <t>5005 Riverway Dr.</t>
  </si>
  <si>
    <t>03-111-9437</t>
  </si>
  <si>
    <t>Sozo Natural Resources LLC</t>
  </si>
  <si>
    <t>5005 Riverway Dr Ste 150</t>
  </si>
  <si>
    <t>77056-2131</t>
  </si>
  <si>
    <t xml:space="preserve">SPC RESOURCES, LLC                           </t>
  </si>
  <si>
    <t>08-002-9899</t>
  </si>
  <si>
    <t>Spc Resources LLC</t>
  </si>
  <si>
    <t xml:space="preserve">SPECIAL ENERGY CORP                          </t>
  </si>
  <si>
    <t>P.O. Drawer 369</t>
  </si>
  <si>
    <t>Stillwater</t>
  </si>
  <si>
    <t>09-705-2419</t>
  </si>
  <si>
    <t>Special Energy Corporation</t>
  </si>
  <si>
    <t>4815 S Perkins Rd</t>
  </si>
  <si>
    <t>74074-7548</t>
  </si>
  <si>
    <t>John Special</t>
  </si>
  <si>
    <t xml:space="preserve">SPINDLETOP OIL &amp; GAS CO.                     </t>
  </si>
  <si>
    <t>12850 Spurling Rd</t>
  </si>
  <si>
    <t>06-634-9580</t>
  </si>
  <si>
    <t>Spindletop Oil &amp; Gas Co.</t>
  </si>
  <si>
    <t>Spindletop</t>
  </si>
  <si>
    <t>12850 Spurling Dr Ste 200</t>
  </si>
  <si>
    <t>75230-1279</t>
  </si>
  <si>
    <t>Chris G Mazzini</t>
  </si>
  <si>
    <t xml:space="preserve">Spur Energy Partners LLC                     </t>
  </si>
  <si>
    <t>9655 Katy Freeway</t>
  </si>
  <si>
    <t>11-716-1544</t>
  </si>
  <si>
    <t>Spur Energy Partners LLC</t>
  </si>
  <si>
    <t>9655 Katy Fwy Ste 500</t>
  </si>
  <si>
    <t>77024-1385</t>
  </si>
  <si>
    <t>Jay Graham</t>
  </si>
  <si>
    <t xml:space="preserve">STANDARD SILVER CORP                         </t>
  </si>
  <si>
    <t>Stateline Gathering LLC</t>
  </si>
  <si>
    <t>1001 17th St</t>
  </si>
  <si>
    <t xml:space="preserve">STEARNS                                      </t>
  </si>
  <si>
    <t>HC 65 Box 900</t>
  </si>
  <si>
    <t>AZBAAZZ</t>
  </si>
  <si>
    <t>00-800-4798</t>
  </si>
  <si>
    <t>Stearns Inc</t>
  </si>
  <si>
    <t>Hwy 206 Ste 1714</t>
  </si>
  <si>
    <t>John Stearns</t>
  </si>
  <si>
    <t xml:space="preserve">STEPHENS &amp; JOHNSON OP CO                     </t>
  </si>
  <si>
    <t>P.O. Box 2249</t>
  </si>
  <si>
    <t>92-684-0646</t>
  </si>
  <si>
    <t>Stephens &amp; Johnson Operating Co.</t>
  </si>
  <si>
    <t>Sjoc</t>
  </si>
  <si>
    <t>811 6TH St Ste 300</t>
  </si>
  <si>
    <t>76301-2509</t>
  </si>
  <si>
    <t>T Frederick Stephens</t>
  </si>
  <si>
    <t>Pumping of oil and gas wells</t>
  </si>
  <si>
    <t xml:space="preserve">STEVEN D RUPPERT                             </t>
  </si>
  <si>
    <t>P.O. Box 550</t>
  </si>
  <si>
    <t>Tesuque</t>
  </si>
  <si>
    <t xml:space="preserve">STEVENSON OIL COMPANY, INC.                  </t>
  </si>
  <si>
    <t>1709 N. 9th</t>
  </si>
  <si>
    <t>Steward Energy II LLC</t>
  </si>
  <si>
    <t>2600 N Dallas Pkwy</t>
  </si>
  <si>
    <t>Frisco</t>
  </si>
  <si>
    <t>07-918-0489</t>
  </si>
  <si>
    <t>Steward Energy II, LLC</t>
  </si>
  <si>
    <t>2600 Dallas Pkwy Ste 400</t>
  </si>
  <si>
    <t>75034-8128</t>
  </si>
  <si>
    <t>Lance L Taylor</t>
  </si>
  <si>
    <t xml:space="preserve">STRATA PRODUCTION CO                         </t>
  </si>
  <si>
    <t>P.O. Box 1030</t>
  </si>
  <si>
    <t>10-838-0734</t>
  </si>
  <si>
    <t>Strata Production Company</t>
  </si>
  <si>
    <t>200 W 1ST St Ste 700</t>
  </si>
  <si>
    <t>88203-4678</t>
  </si>
  <si>
    <t>Mark Murphy</t>
  </si>
  <si>
    <t>Summit Midstream Permian LLC - Carlsbad</t>
  </si>
  <si>
    <t>999 18th Street</t>
  </si>
  <si>
    <t>07-974-3107</t>
  </si>
  <si>
    <t>Summit Midstream Utica LLC</t>
  </si>
  <si>
    <t>999 18TH St Ste 2500</t>
  </si>
  <si>
    <t>80202-2425</t>
  </si>
  <si>
    <t>Steve Newby</t>
  </si>
  <si>
    <t>07-860-3350</t>
  </si>
  <si>
    <t>Summit Midstream Partners, LP</t>
  </si>
  <si>
    <t>Summit Midstream Permian LLC - Houston</t>
  </si>
  <si>
    <t xml:space="preserve">1790 Hughes Landing Blvd. </t>
  </si>
  <si>
    <t>11-710-2683</t>
  </si>
  <si>
    <t>Summit Midstream Permian Finance, LLC</t>
  </si>
  <si>
    <t>1790 Hughes Landing Blvd Ste 500</t>
  </si>
  <si>
    <t>77380-1693</t>
  </si>
  <si>
    <t>910 Louisiana Street</t>
  </si>
  <si>
    <t>910 Louisiana St Ste 4200</t>
  </si>
  <si>
    <t>77002-4950</t>
  </si>
  <si>
    <t>Leonard W Mallett</t>
  </si>
  <si>
    <t xml:space="preserve">SUMMIT RESOURCES MANAGEMENT LLC              </t>
  </si>
  <si>
    <t>P.O. Box 6092</t>
  </si>
  <si>
    <t>08-119-0683</t>
  </si>
  <si>
    <t>Summit Resources Management LLC</t>
  </si>
  <si>
    <t>808 Fox Run Trl</t>
  </si>
  <si>
    <t>73034-7361</t>
  </si>
  <si>
    <t>Sundown Energy LP</t>
  </si>
  <si>
    <t>16400 Dallas Pkwy Ste 100</t>
  </si>
  <si>
    <t>75249-2640</t>
  </si>
  <si>
    <t>13-388-2287</t>
  </si>
  <si>
    <t>Lr</t>
  </si>
  <si>
    <t>75248-2640</t>
  </si>
  <si>
    <t>Tim Allen</t>
  </si>
  <si>
    <t xml:space="preserve">SUNLIGHT EXPLORATION, INC.                   </t>
  </si>
  <si>
    <t>1415 23rd Street</t>
  </si>
  <si>
    <t>Canyon</t>
  </si>
  <si>
    <t>79-696-3049</t>
  </si>
  <si>
    <t>Sunlight Exploration Inc</t>
  </si>
  <si>
    <t>1415 23RD St</t>
  </si>
  <si>
    <t>79015-5323</t>
  </si>
  <si>
    <t>CHRIS BRIGHT</t>
  </si>
  <si>
    <t xml:space="preserve">Sunset 2018,  LLC                            </t>
  </si>
  <si>
    <t>3108 N. Sunset Ave</t>
  </si>
  <si>
    <t>Superior Pipeline</t>
  </si>
  <si>
    <t>PO BOX 702500</t>
  </si>
  <si>
    <t>74170-2500</t>
  </si>
  <si>
    <t>03-672-8152</t>
  </si>
  <si>
    <t>Superior Pipeline Company, L.L.C.</t>
  </si>
  <si>
    <t>8200 S Unit Dr</t>
  </si>
  <si>
    <t>74132-5300</t>
  </si>
  <si>
    <t>Bob Parks</t>
  </si>
  <si>
    <t>15-352-3840</t>
  </si>
  <si>
    <t>Unit Corporation</t>
  </si>
  <si>
    <t xml:space="preserve">SYNERGY OPERATING LLC                        </t>
  </si>
  <si>
    <t>P.O. Box 5513</t>
  </si>
  <si>
    <t>83-904-4294</t>
  </si>
  <si>
    <t>Synergy Operating, Llc.</t>
  </si>
  <si>
    <t>5101 College Blvd Ste 5055</t>
  </si>
  <si>
    <t>87402-4709</t>
  </si>
  <si>
    <t>Thomas Mullins</t>
  </si>
  <si>
    <t>Systems analysis and engineering consulting services</t>
  </si>
  <si>
    <t xml:space="preserve">Tacitus, LLC                                 </t>
  </si>
  <si>
    <t>1770, 700 - 6th Ave.  SW</t>
  </si>
  <si>
    <t>Calgary, Alberta</t>
  </si>
  <si>
    <t>AB</t>
  </si>
  <si>
    <t>T2P0T8</t>
  </si>
  <si>
    <t xml:space="preserve">TAMARACK PETROLEUM CO INC                    </t>
  </si>
  <si>
    <t xml:space="preserve">303 W WALL ST </t>
  </si>
  <si>
    <t>79701-5194</t>
  </si>
  <si>
    <t>05-946-3091</t>
  </si>
  <si>
    <t>Tamarack Petroleum Company, Inc.</t>
  </si>
  <si>
    <t>303 W Texas Ste 1901</t>
  </si>
  <si>
    <t>Robert Liem</t>
  </si>
  <si>
    <t>07-384-3849</t>
  </si>
  <si>
    <t>WI</t>
  </si>
  <si>
    <t xml:space="preserve">Tamaroa Operating, LLC                       </t>
  </si>
  <si>
    <t>PO Box 866937</t>
  </si>
  <si>
    <t>06-763-6448</t>
  </si>
  <si>
    <t>Tamaroa Development LLC</t>
  </si>
  <si>
    <t xml:space="preserve">TANDEM ENERGY CORPORATION                    </t>
  </si>
  <si>
    <t>5065 Westheimer Rd</t>
  </si>
  <si>
    <t>02-023-2996</t>
  </si>
  <si>
    <t>Kd Energy, LLC</t>
  </si>
  <si>
    <t>5065 Westheimer Rd Ste 920</t>
  </si>
  <si>
    <t>77056-5773</t>
  </si>
  <si>
    <t>Tap Rock Operating LLC</t>
  </si>
  <si>
    <t>523 Park Point Drive</t>
  </si>
  <si>
    <t>Golden</t>
  </si>
  <si>
    <t>08-058-2707</t>
  </si>
  <si>
    <t>Tap Rock Operating, LLC</t>
  </si>
  <si>
    <t>Tap Rock Resources</t>
  </si>
  <si>
    <t>523 Park Point Dr Ste 200</t>
  </si>
  <si>
    <t>80401-9387</t>
  </si>
  <si>
    <t>Ryan London</t>
  </si>
  <si>
    <t xml:space="preserve">TARCO ENERGY, LC                             </t>
  </si>
  <si>
    <t>12403 Cr 2300</t>
  </si>
  <si>
    <t>05-984-9535</t>
  </si>
  <si>
    <t>Tarco Energy, L.C.</t>
  </si>
  <si>
    <t>12403 County Road 2300</t>
  </si>
  <si>
    <t>79423-6575</t>
  </si>
  <si>
    <t>JOE TARVER</t>
  </si>
  <si>
    <t>Targa Midstream Services LLC</t>
  </si>
  <si>
    <t xml:space="preserve">Tascosa Energy Partners, L.L.C               </t>
  </si>
  <si>
    <t>901 W. Missouri Ave</t>
  </si>
  <si>
    <t>02-065-5541</t>
  </si>
  <si>
    <t>Tascosa Investments, LLC</t>
  </si>
  <si>
    <t>901 W Missouri Ave</t>
  </si>
  <si>
    <t>79701-6629</t>
  </si>
  <si>
    <t>Investors, nec</t>
  </si>
  <si>
    <t>Investors, Nec</t>
  </si>
  <si>
    <t>Miscellaneous Intermediation</t>
  </si>
  <si>
    <t>Taylor Transfer Services LLC</t>
  </si>
  <si>
    <t>PO Box 871149</t>
  </si>
  <si>
    <t>Mesquite</t>
  </si>
  <si>
    <t>Texaco Exploration &amp; Production Inc</t>
  </si>
  <si>
    <t>78-258-2860</t>
  </si>
  <si>
    <t>Texaco Exploration and Production, Inc</t>
  </si>
  <si>
    <t>Texaco</t>
  </si>
  <si>
    <t>500 N Loraine St</t>
  </si>
  <si>
    <t>79701-4745</t>
  </si>
  <si>
    <t>Rick Schneider</t>
  </si>
  <si>
    <t xml:space="preserve">TEXLAND PETROLEUM-HOBBS, LLC                 </t>
  </si>
  <si>
    <t>06-423-8017</t>
  </si>
  <si>
    <t>Texland Petroleum, L.P.</t>
  </si>
  <si>
    <t>777 Main St Ste 3200</t>
  </si>
  <si>
    <t>76102-5344</t>
  </si>
  <si>
    <t>J N Namy</t>
  </si>
  <si>
    <t xml:space="preserve">TEXON OIL COMPANY, INC.                      </t>
  </si>
  <si>
    <t>P.O. Box 51588</t>
  </si>
  <si>
    <t>78-783-6907</t>
  </si>
  <si>
    <t>Texon Oil Company Inc</t>
  </si>
  <si>
    <t>Honolulu Oil Company</t>
  </si>
  <si>
    <t>3100 N A St Ste B-201</t>
  </si>
  <si>
    <t>79705-5384</t>
  </si>
  <si>
    <t>ED E RUNYAN</t>
  </si>
  <si>
    <t xml:space="preserve">THE COLBORN COMPANY, INC.                    </t>
  </si>
  <si>
    <t>P.O. Box 1804</t>
  </si>
  <si>
    <t>18-533-2871</t>
  </si>
  <si>
    <t>The Colborn Company Inc</t>
  </si>
  <si>
    <t>524 Texas Ave</t>
  </si>
  <si>
    <t>88231-3861</t>
  </si>
  <si>
    <t>Rance Colborn</t>
  </si>
  <si>
    <t xml:space="preserve">THOMAS AND RUBY PARKINSON TRUST              </t>
  </si>
  <si>
    <t>4634 New Mexico Rd 206</t>
  </si>
  <si>
    <t>Milnesand</t>
  </si>
  <si>
    <t xml:space="preserve">THREE FORKS RESOURCES, LLC                   </t>
  </si>
  <si>
    <t>4080 Youngfield Street</t>
  </si>
  <si>
    <t>Wheat Ridge</t>
  </si>
  <si>
    <t>02-591-5669</t>
  </si>
  <si>
    <t>Three Forks Resources, LLC</t>
  </si>
  <si>
    <t>4080 Youngfield St</t>
  </si>
  <si>
    <t>80033-3862</t>
  </si>
  <si>
    <t>Scotty A Smith</t>
  </si>
  <si>
    <t>Three Rivers Operating Company LLC</t>
  </si>
  <si>
    <t>5301 Southwest Parkway</t>
  </si>
  <si>
    <t>96-241-9326</t>
  </si>
  <si>
    <t>5301 Southwest Pkwy Ste 400</t>
  </si>
  <si>
    <t>78735-8986</t>
  </si>
  <si>
    <t>Gabe Ellisor</t>
  </si>
  <si>
    <t xml:space="preserve">TIMBERLINE OIL &amp; GAS, LLC                    </t>
  </si>
  <si>
    <t>3621 Six Shooter Rd</t>
  </si>
  <si>
    <t xml:space="preserve">Titus Oil &amp; Gas Production, LLC              </t>
  </si>
  <si>
    <t xml:space="preserve">420 Throckmorton St, </t>
  </si>
  <si>
    <t>00-848-1005</t>
  </si>
  <si>
    <t>Titus Oil &amp; Gas Production LLC</t>
  </si>
  <si>
    <t>420 Throckmorton St Ste 1150</t>
  </si>
  <si>
    <t>76102-3761</t>
  </si>
  <si>
    <t>Oil and gas line and compressor station construction</t>
  </si>
  <si>
    <t xml:space="preserve">TORA OIL &amp; GAS, LLC                          </t>
  </si>
  <si>
    <t>P. O. Box 1267</t>
  </si>
  <si>
    <t>Transcolorado Gas Co</t>
  </si>
  <si>
    <t>93-893-9154</t>
  </si>
  <si>
    <t>Transcolorado Gas Transmission Company LLC</t>
  </si>
  <si>
    <t>John Eagleton</t>
  </si>
  <si>
    <t>03-512-3850</t>
  </si>
  <si>
    <t>Kinder Morgan Energy Partners, L.P.</t>
  </si>
  <si>
    <t>Transwestern Pipeline Company, LLC</t>
  </si>
  <si>
    <t>6381 North Main Street</t>
  </si>
  <si>
    <t>12-334-4285</t>
  </si>
  <si>
    <t>6381 N Main St</t>
  </si>
  <si>
    <t>88201-9485</t>
  </si>
  <si>
    <t>Greg McIlwain</t>
  </si>
  <si>
    <t>00-793-3047</t>
  </si>
  <si>
    <t xml:space="preserve">TREK OPERATING, LLC                          </t>
  </si>
  <si>
    <t>P O Box 52098</t>
  </si>
  <si>
    <t>80-292-4428</t>
  </si>
  <si>
    <t>Trek Operating, LLC</t>
  </si>
  <si>
    <t>Brad D Burks</t>
  </si>
  <si>
    <t>Investment advice</t>
  </si>
  <si>
    <t>Investment Advice</t>
  </si>
  <si>
    <t>Investment advisory service</t>
  </si>
  <si>
    <t xml:space="preserve">TRILOGY OPERATING INC                        </t>
  </si>
  <si>
    <t>P.O. Box 7606</t>
  </si>
  <si>
    <t>13-015-9353</t>
  </si>
  <si>
    <t>Trilogy Operating, Inc.</t>
  </si>
  <si>
    <t>5819 W Wadley Ave</t>
  </si>
  <si>
    <t>79707-5055</t>
  </si>
  <si>
    <t>Michael G Mooney</t>
  </si>
  <si>
    <t>Trojan Pipeline LP</t>
  </si>
  <si>
    <t xml:space="preserve">TURNER PRODUCTION CO                         </t>
  </si>
  <si>
    <t>1925 Greenville Ave</t>
  </si>
  <si>
    <t>11-605-5483</t>
  </si>
  <si>
    <t>Turner Production Company</t>
  </si>
  <si>
    <t>Twin Stars Compression LLC</t>
  </si>
  <si>
    <t>PO Box 1339</t>
  </si>
  <si>
    <t xml:space="preserve">U.S. ENERGY DEVELOPMENT CORPORATION          </t>
  </si>
  <si>
    <t>1521 N. Cooper St.</t>
  </si>
  <si>
    <t>Arlington</t>
  </si>
  <si>
    <t>03-687-8249</t>
  </si>
  <si>
    <t>U. S. Energy Development Corporation</t>
  </si>
  <si>
    <t>U.S. Energy Development</t>
  </si>
  <si>
    <t>1521 N Cooper St Ste 700</t>
  </si>
  <si>
    <t>76011-5598</t>
  </si>
  <si>
    <t>03-863-0729</t>
  </si>
  <si>
    <t>NY</t>
  </si>
  <si>
    <t>Union Oil Co</t>
  </si>
  <si>
    <t>3300 N Butler Ave</t>
  </si>
  <si>
    <t>12-295-2641</t>
  </si>
  <si>
    <t>Marathon Oil Company</t>
  </si>
  <si>
    <t>M A P Crude Petroleum &amp; Naturl</t>
  </si>
  <si>
    <t>87401-5621</t>
  </si>
  <si>
    <t>g w donaghey</t>
  </si>
  <si>
    <t>05-512-2568</t>
  </si>
  <si>
    <t xml:space="preserve">Unitex Oil &amp; Gas, L.L.C.                     </t>
  </si>
  <si>
    <t>508 W Wall Street</t>
  </si>
  <si>
    <t>62-778-8024</t>
  </si>
  <si>
    <t>Unitex Oil &amp; Gas, L.L.C.</t>
  </si>
  <si>
    <t>David C Wilson</t>
  </si>
  <si>
    <t>Univar Solutions, USA Inc</t>
  </si>
  <si>
    <t xml:space="preserve">3 Waterway Square Place </t>
  </si>
  <si>
    <t>03-818-4475</t>
  </si>
  <si>
    <t>Univar Solutions USA Inc.</t>
  </si>
  <si>
    <t>3 Waterway Square Pl Ste 1000</t>
  </si>
  <si>
    <t>77380-3488</t>
  </si>
  <si>
    <t>DAVID A BRADLEY</t>
  </si>
  <si>
    <t>Farm supplies, nsk</t>
  </si>
  <si>
    <t>Farm Supplies</t>
  </si>
  <si>
    <t>Chemicals, agricultural</t>
  </si>
  <si>
    <t>Silicon lubricants</t>
  </si>
  <si>
    <t>Farm Supplies Merchant Wholesalers</t>
  </si>
  <si>
    <t>09-887-7053</t>
  </si>
  <si>
    <t>Univar Solutions Inc.</t>
  </si>
  <si>
    <t>10-297-1785</t>
  </si>
  <si>
    <t xml:space="preserve">UPLAND PRODUCTION COMPANY                    </t>
  </si>
  <si>
    <t>P.O. Box 1327</t>
  </si>
  <si>
    <t>USA Compression Inc - Farmington</t>
  </si>
  <si>
    <t xml:space="preserve">3300 N Butler </t>
  </si>
  <si>
    <t>61-730-7843</t>
  </si>
  <si>
    <t>USA Compression Corporation</t>
  </si>
  <si>
    <t>Doug Dearen</t>
  </si>
  <si>
    <t>Industrial supplies, nsk</t>
  </si>
  <si>
    <t>Industrial Supplies</t>
  </si>
  <si>
    <t>Gas equipment, parts and supplies</t>
  </si>
  <si>
    <t>Industrial Supplies Merchant Wholesalers</t>
  </si>
  <si>
    <t>USA Compression Inc - Midland</t>
  </si>
  <si>
    <t>4415 Northcrest</t>
  </si>
  <si>
    <t>PO 726</t>
  </si>
  <si>
    <t>Valerus Compression Services LP</t>
  </si>
  <si>
    <t xml:space="preserve">919 Milan </t>
  </si>
  <si>
    <t>BABAAZZ</t>
  </si>
  <si>
    <t>00-253-3378</t>
  </si>
  <si>
    <t>Valerus Field Solutions Holdings LLC</t>
  </si>
  <si>
    <t>Valerus</t>
  </si>
  <si>
    <t>919 Milam St Ste 1000</t>
  </si>
  <si>
    <t>77002-5386</t>
  </si>
  <si>
    <t>Christian I Brown</t>
  </si>
  <si>
    <t>Investment holding companies, except banks</t>
  </si>
  <si>
    <t>20-542-9533</t>
  </si>
  <si>
    <t>Groupe SNC-Lavalin Inc</t>
  </si>
  <si>
    <t>QC</t>
  </si>
  <si>
    <t>23-709-9031</t>
  </si>
  <si>
    <t>KENTZ CORPORATION LIMITED</t>
  </si>
  <si>
    <t xml:space="preserve">VERNON E. FAULCONER, INC.                    </t>
  </si>
  <si>
    <t>P.O. Box 7995</t>
  </si>
  <si>
    <t>06-288-9134</t>
  </si>
  <si>
    <t>Vernon E. Faulconer, Inc.</t>
  </si>
  <si>
    <t>1001 E Southeast Loop 323 Ste 160</t>
  </si>
  <si>
    <t>75701-9663</t>
  </si>
  <si>
    <t>Vernon E Faulconer</t>
  </si>
  <si>
    <t>Versado Gas Processors, LLC</t>
  </si>
  <si>
    <t xml:space="preserve">V-F PETROLEUM INC                            </t>
  </si>
  <si>
    <t>P.O. Box 1889</t>
  </si>
  <si>
    <t>04-787-6800</t>
  </si>
  <si>
    <t>V-F Petroleum Inc.</t>
  </si>
  <si>
    <t>500 W Texas Ave Ste 350</t>
  </si>
  <si>
    <t>79701-4210</t>
  </si>
  <si>
    <t>Thomas Beall</t>
  </si>
  <si>
    <t xml:space="preserve">VINTAGE DRILLING LLC                         </t>
  </si>
  <si>
    <t>P. O. Box 248</t>
  </si>
  <si>
    <t>00-246-1189</t>
  </si>
  <si>
    <t>Vintage Drilling, LLC</t>
  </si>
  <si>
    <t>2711 W Grand Ave Ste Ce</t>
  </si>
  <si>
    <t>88210-1520</t>
  </si>
  <si>
    <t>C E SONNY HOPE</t>
  </si>
  <si>
    <t xml:space="preserve">VISION ENERGY GROUP LLC                      </t>
  </si>
  <si>
    <t>5600 North May Avenue</t>
  </si>
  <si>
    <t>07-943-0234</t>
  </si>
  <si>
    <t>Vision Energy Group LLC</t>
  </si>
  <si>
    <t>5600 N May Ave Ste 137</t>
  </si>
  <si>
    <t>73112-4275</t>
  </si>
  <si>
    <t>LISA WILLIAMS</t>
  </si>
  <si>
    <t>98-568-7323</t>
  </si>
  <si>
    <t>LINDE PUBLIC LIMITED COMPANY</t>
  </si>
  <si>
    <t>Ireland Republic of</t>
  </si>
  <si>
    <t>19-715-4586</t>
  </si>
  <si>
    <t>Linde Inc.</t>
  </si>
  <si>
    <t xml:space="preserve">VISION ENERGY INC                            </t>
  </si>
  <si>
    <t>P.O. Box 2459</t>
  </si>
  <si>
    <t>78-299-2598</t>
  </si>
  <si>
    <t>Vision Energy, Inc</t>
  </si>
  <si>
    <t>2512 Hepler Rd</t>
  </si>
  <si>
    <t>88220-9591</t>
  </si>
  <si>
    <t>David Maley</t>
  </si>
  <si>
    <t>Vitol Americas Corp</t>
  </si>
  <si>
    <t>2925 Richmond Ave</t>
  </si>
  <si>
    <t>96-788-8330</t>
  </si>
  <si>
    <t>Vitol Americas Corp.</t>
  </si>
  <si>
    <t>2925 Richmond Ave Ste 11</t>
  </si>
  <si>
    <t>77098-3138</t>
  </si>
  <si>
    <t>William James Randall</t>
  </si>
  <si>
    <t>49-269-2489</t>
  </si>
  <si>
    <t>Vitol Netherlands CoÃ¶peratief U.A.</t>
  </si>
  <si>
    <t>Netherlands</t>
  </si>
  <si>
    <t>79-062-0046</t>
  </si>
  <si>
    <t>Vitol Inc.</t>
  </si>
  <si>
    <t>08-107-7475</t>
  </si>
  <si>
    <t>Vitol US Holding Co.</t>
  </si>
  <si>
    <t xml:space="preserve">W A MONCRIEF JR                              </t>
  </si>
  <si>
    <t>950 Commerce</t>
  </si>
  <si>
    <t>05-946-4115</t>
  </si>
  <si>
    <t>Moncrief Partners, L.P.</t>
  </si>
  <si>
    <t>Moncrieff Oil</t>
  </si>
  <si>
    <t>950 Commerce St</t>
  </si>
  <si>
    <t>76102-5418</t>
  </si>
  <si>
    <t>William A Moncrieff Junior</t>
  </si>
  <si>
    <t xml:space="preserve">W B HAMILTON ESTATE                          </t>
  </si>
  <si>
    <t>900 8th St</t>
  </si>
  <si>
    <t>00-793-8244</t>
  </si>
  <si>
    <t>W B Hamilton Estate Operating Company</t>
  </si>
  <si>
    <t>900 8TH St Ste 710</t>
  </si>
  <si>
    <t>76301-6808</t>
  </si>
  <si>
    <t>DOROTHY HAMILTON</t>
  </si>
  <si>
    <t>Wadi Petroleum Inc</t>
  </si>
  <si>
    <t>c/o Dewbre Petroleum Corporation 802 N Carancahua</t>
  </si>
  <si>
    <t>Corpus Christi</t>
  </si>
  <si>
    <t>78-714-9017</t>
  </si>
  <si>
    <t>Dolphin Petroleum, LP</t>
  </si>
  <si>
    <t>802 S Carancahua St</t>
  </si>
  <si>
    <t>78401-3402</t>
  </si>
  <si>
    <t>Brad Jauer</t>
  </si>
  <si>
    <t xml:space="preserve">WAGNER OIL CO.                               </t>
  </si>
  <si>
    <t>500 Commerce</t>
  </si>
  <si>
    <t>00-282-5917</t>
  </si>
  <si>
    <t>Wagner Oil Company</t>
  </si>
  <si>
    <t>500 Commerce St Ste 600</t>
  </si>
  <si>
    <t>76102-5477</t>
  </si>
  <si>
    <t>Bryan Wagner</t>
  </si>
  <si>
    <t xml:space="preserve">WALSH &amp; WATTS INC                            </t>
  </si>
  <si>
    <t>500 W 7TH ST</t>
  </si>
  <si>
    <t>FORT WORTH</t>
  </si>
  <si>
    <t>00-282-5941</t>
  </si>
  <si>
    <t>Walsh and Watts, Inc.</t>
  </si>
  <si>
    <t>500 W 7TH St Ste 1007</t>
  </si>
  <si>
    <t>76102-4769</t>
  </si>
  <si>
    <t>Howard Walsh Junior</t>
  </si>
  <si>
    <t xml:space="preserve">Wapiti Operating, LLC                        </t>
  </si>
  <si>
    <t>1310 W Sam Houston PKWY North</t>
  </si>
  <si>
    <t>11-664-7321</t>
  </si>
  <si>
    <t>Wapiti Raton, L.L.C.</t>
  </si>
  <si>
    <t>1310 W Sam Houston Pkwy N</t>
  </si>
  <si>
    <t>77043-4011</t>
  </si>
  <si>
    <t>Bart Agee</t>
  </si>
  <si>
    <t>Distribution, electric power</t>
  </si>
  <si>
    <t>Electric Power Distribution</t>
  </si>
  <si>
    <t xml:space="preserve">WARREN AMERICAN OIL CO                       </t>
  </si>
  <si>
    <t>P.O. Box 470372</t>
  </si>
  <si>
    <t>02-391-1694</t>
  </si>
  <si>
    <t>Liam Holdings, LLC</t>
  </si>
  <si>
    <t>Warren American Oil Co.</t>
  </si>
  <si>
    <t>6585 S Yale Ave Ste 800</t>
  </si>
  <si>
    <t>74136-8321</t>
  </si>
  <si>
    <t>W K Warren Junior</t>
  </si>
  <si>
    <t>Personal holding companies, except banks</t>
  </si>
  <si>
    <t xml:space="preserve">WESPAC ENERGY, LLC                           </t>
  </si>
  <si>
    <t>400 East College Blvd</t>
  </si>
  <si>
    <t>79-045-9908</t>
  </si>
  <si>
    <t>Wespac Energy I LP</t>
  </si>
  <si>
    <t>400 E College Blvd</t>
  </si>
  <si>
    <t>88201-7570</t>
  </si>
  <si>
    <t xml:space="preserve">WEST LARGO CORP                              </t>
  </si>
  <si>
    <t>8801 S Yale</t>
  </si>
  <si>
    <t>80-139-6925</t>
  </si>
  <si>
    <t>West Largo Corp.</t>
  </si>
  <si>
    <t>8801 S Yale Ave Ste 240</t>
  </si>
  <si>
    <t>74137-3535</t>
  </si>
  <si>
    <t>John P Garrett</t>
  </si>
  <si>
    <t>Western Global Oil dba Western Global Oil Inc</t>
  </si>
  <si>
    <t>P. O. Box 66</t>
  </si>
  <si>
    <t>Moorpark</t>
  </si>
  <si>
    <t xml:space="preserve">WESTERN OIL &amp; MINERALS LTD                   </t>
  </si>
  <si>
    <t>P.O. Drawer 1228</t>
  </si>
  <si>
    <t>07-340-9583</t>
  </si>
  <si>
    <t>Western Minerals &amp; Oil LLC</t>
  </si>
  <si>
    <t>Melinda M Snodgrass</t>
  </si>
  <si>
    <t>Western Refining Conan Gathering LLC</t>
  </si>
  <si>
    <t>1703 Commerce Drive</t>
  </si>
  <si>
    <t>Western Refining Pipeline, LLC</t>
  </si>
  <si>
    <t>200 East Hardin Street</t>
  </si>
  <si>
    <t>Findlay</t>
  </si>
  <si>
    <t>11-729-0017</t>
  </si>
  <si>
    <t>Western Refining Product Transport, LLC</t>
  </si>
  <si>
    <t>200 E Hardin St</t>
  </si>
  <si>
    <t>Ohio</t>
  </si>
  <si>
    <t>96-804-2452</t>
  </si>
  <si>
    <t>Andeavor Logistics LP</t>
  </si>
  <si>
    <t>Western Refining Southwest Inc. Bloomfield Products Terminal</t>
  </si>
  <si>
    <t>111 County Rd 4990</t>
  </si>
  <si>
    <t>00-748-4413</t>
  </si>
  <si>
    <t>Western Refining Southwest, Inc.</t>
  </si>
  <si>
    <t>San Juan Regional Office</t>
  </si>
  <si>
    <t>111 Road 4990</t>
  </si>
  <si>
    <t>87413-9650</t>
  </si>
  <si>
    <t>Brad Ping</t>
  </si>
  <si>
    <t>96-839-3996</t>
  </si>
  <si>
    <t>Marathon Petroleum Corporation</t>
  </si>
  <si>
    <t>03-590-3194</t>
  </si>
  <si>
    <t>AZ</t>
  </si>
  <si>
    <t xml:space="preserve">WHITE ROCK OIL &amp; GAS, LLC                    </t>
  </si>
  <si>
    <t>5810 Tennyson Parkway</t>
  </si>
  <si>
    <t>02-636-2234</t>
  </si>
  <si>
    <t>White Rock Oil &amp; Gas LLC</t>
  </si>
  <si>
    <t>5810 Tennyson Pkwy Ste 500</t>
  </si>
  <si>
    <t>75024-3523</t>
  </si>
  <si>
    <t>Robert Matejek</t>
  </si>
  <si>
    <t xml:space="preserve">WHITING OIL AND GAS CORPORATION              </t>
  </si>
  <si>
    <t>1700 Lincoln Street</t>
  </si>
  <si>
    <t>05-238-3064</t>
  </si>
  <si>
    <t>Whiting Oil and Gas Corporation</t>
  </si>
  <si>
    <t>Whiting Oil &amp; Gas</t>
  </si>
  <si>
    <t>1700 Broadway Ste 2300</t>
  </si>
  <si>
    <t>80290-1703</t>
  </si>
  <si>
    <t>James J Volker</t>
  </si>
  <si>
    <t>13-517-5680</t>
  </si>
  <si>
    <t>Whiting Petroleum Corporation</t>
  </si>
  <si>
    <t xml:space="preserve">WILLIAM J SWEATT TRUST B                     </t>
  </si>
  <si>
    <t>512 W TEXAS AVE</t>
  </si>
  <si>
    <t>ARTESIA</t>
  </si>
  <si>
    <t>Williams Production Company LLC</t>
  </si>
  <si>
    <t>PO Box 640</t>
  </si>
  <si>
    <t>Working Partners Inc</t>
  </si>
  <si>
    <t>PO Box 55809</t>
  </si>
  <si>
    <t xml:space="preserve">WPX Energy Permian LLC </t>
  </si>
  <si>
    <t>One Williams Center</t>
  </si>
  <si>
    <t>61-926-3606</t>
  </si>
  <si>
    <t>Wpx Energy Permian, LLC</t>
  </si>
  <si>
    <t>3500 One Williams Ctr</t>
  </si>
  <si>
    <t>74172-0135</t>
  </si>
  <si>
    <t>Ronnie K Irani</t>
  </si>
  <si>
    <t>96-825-7084</t>
  </si>
  <si>
    <t>Wpx Energy, Inc.</t>
  </si>
  <si>
    <t xml:space="preserve">WTG EXPLORATION INC                          </t>
  </si>
  <si>
    <t>401 W Wadley Ave</t>
  </si>
  <si>
    <t>80-772-3606</t>
  </si>
  <si>
    <t>Wtg Exploration, Inc.</t>
  </si>
  <si>
    <t>79705-5339</t>
  </si>
  <si>
    <t>James L Davis</t>
  </si>
  <si>
    <t>XTO Energy Inc</t>
  </si>
  <si>
    <t>22777 Springwood Village Parkway</t>
  </si>
  <si>
    <t>80-471-2347</t>
  </si>
  <si>
    <t>Xto Energy Inc.</t>
  </si>
  <si>
    <t>22777 Springwoods Village Pkwy</t>
  </si>
  <si>
    <t>77389-1425</t>
  </si>
  <si>
    <t>Randy J Cleveland</t>
  </si>
  <si>
    <t>00-121-3214</t>
  </si>
  <si>
    <t>Exxon Mobil Corporation</t>
  </si>
  <si>
    <t xml:space="preserve">XTO PERMIAN OPERATING LLC.                   </t>
  </si>
  <si>
    <t>6401 Holiday Hill Road</t>
  </si>
  <si>
    <t xml:space="preserve">YARBROUGH OIL LP                             </t>
  </si>
  <si>
    <t xml:space="preserve">YATES ENERGY CORP                            </t>
  </si>
  <si>
    <t>P.O. Box 2323</t>
  </si>
  <si>
    <t>10-837-9819</t>
  </si>
  <si>
    <t>Yates Energy Corp</t>
  </si>
  <si>
    <t>Yates US</t>
  </si>
  <si>
    <t>400 N Pennsylvania Ave Ste 250</t>
  </si>
  <si>
    <t>88201-4788</t>
  </si>
  <si>
    <t>Fred G Yates</t>
  </si>
  <si>
    <t xml:space="preserve">ZACHARY OIL OPERATING CO                     </t>
  </si>
  <si>
    <t>4971 E Interstate 20</t>
  </si>
  <si>
    <t>Willow Park</t>
  </si>
  <si>
    <t>03-024-2133</t>
  </si>
  <si>
    <t>Zachary Oil Operating Company</t>
  </si>
  <si>
    <t>4971 E Interstate 20 Service Rd N Ste 302</t>
  </si>
  <si>
    <t>76087-3243</t>
  </si>
  <si>
    <t xml:space="preserve">ZIMMERMAN OIL &amp; GAS EXPLORATION, INC.        </t>
  </si>
  <si>
    <t>2009 South Main Street</t>
  </si>
  <si>
    <t>17-388-8822</t>
  </si>
  <si>
    <t>Zimmerman Oil Inc</t>
  </si>
  <si>
    <t>2009 S Main Ave</t>
  </si>
  <si>
    <t>88260-4918</t>
  </si>
  <si>
    <t>ZAC ZIMMERMAN</t>
  </si>
  <si>
    <t>AZZZZZZ</t>
  </si>
  <si>
    <t>15-515-6123</t>
  </si>
  <si>
    <t>New York</t>
  </si>
  <si>
    <t>07-600-8003</t>
  </si>
  <si>
    <t>Black Hawk Energy Services Ltd</t>
  </si>
  <si>
    <t>701 SW Avenue E</t>
  </si>
  <si>
    <t>79714-6921</t>
  </si>
  <si>
    <t>08-042-9979</t>
  </si>
  <si>
    <t>Oregon</t>
  </si>
  <si>
    <t>Legal services, nsk</t>
  </si>
  <si>
    <t>Legal Services</t>
  </si>
  <si>
    <t>Offices of Lawyers</t>
  </si>
  <si>
    <t>00-896-6889</t>
  </si>
  <si>
    <t>BP America Production Company</t>
  </si>
  <si>
    <t>BP</t>
  </si>
  <si>
    <t>501 Westlake Park Blvd</t>
  </si>
  <si>
    <t>77079-2604</t>
  </si>
  <si>
    <t>Bob Dudley</t>
  </si>
  <si>
    <t>Natural Gas Liquids</t>
  </si>
  <si>
    <t>Natural gas liquids</t>
  </si>
  <si>
    <t>Natural Gas Extraction</t>
  </si>
  <si>
    <t>82-944-7510</t>
  </si>
  <si>
    <t>Cross Border Resources, Inc.</t>
  </si>
  <si>
    <t>6334 Maple Ave Ste 500</t>
  </si>
  <si>
    <t>75235-5527</t>
  </si>
  <si>
    <t>04-797-4922</t>
  </si>
  <si>
    <t>Red Mountain Resources, Inc.</t>
  </si>
  <si>
    <t>02-846-9039</t>
  </si>
  <si>
    <t>Evergreen Resources, Inc</t>
  </si>
  <si>
    <t>1401 17TH St Ste 1200</t>
  </si>
  <si>
    <t>80202-5928</t>
  </si>
  <si>
    <t>Mark S Sexton</t>
  </si>
  <si>
    <t>16-003-2199</t>
  </si>
  <si>
    <t>Pioneer Natural Resources Company</t>
  </si>
  <si>
    <t>04-087-0071</t>
  </si>
  <si>
    <t>California</t>
  </si>
  <si>
    <t>03-819-8529</t>
  </si>
  <si>
    <t>Laurence W Ritter</t>
  </si>
  <si>
    <t>2040 Avenue OF The Stars</t>
  </si>
  <si>
    <t>Los Angeles</t>
  </si>
  <si>
    <t>90067-4702</t>
  </si>
  <si>
    <t>General practice law office</t>
  </si>
  <si>
    <t>08-468-2549</t>
  </si>
  <si>
    <t>Matador Production Co.</t>
  </si>
  <si>
    <t>6647 US Highway 181 N</t>
  </si>
  <si>
    <t>Floresville</t>
  </si>
  <si>
    <t>78114-6280</t>
  </si>
  <si>
    <t>06-851-7171</t>
  </si>
  <si>
    <t>Natural Gas Services Group, Inc.</t>
  </si>
  <si>
    <t>Ngsg</t>
  </si>
  <si>
    <t>508 W Wall St Ste 550</t>
  </si>
  <si>
    <t>79701-5079</t>
  </si>
  <si>
    <t>Stephen C Taylor</t>
  </si>
  <si>
    <t>09-829-2253</t>
  </si>
  <si>
    <t>Nearburg Producing Company Inc</t>
  </si>
  <si>
    <t>5447 Glen Lakes Dr</t>
  </si>
  <si>
    <t>75231-4307</t>
  </si>
  <si>
    <t>CHARLES E NEARBURG</t>
  </si>
  <si>
    <t>13-758-9354</t>
  </si>
  <si>
    <t>Nordstrand Engineering, Inc.</t>
  </si>
  <si>
    <t>3229 Damico St Ste 200</t>
  </si>
  <si>
    <t>77019-1908</t>
  </si>
  <si>
    <t>Carl M Nordstrand</t>
  </si>
  <si>
    <t>01-706-4325</t>
  </si>
  <si>
    <t>Phillips Petroleum Company</t>
  </si>
  <si>
    <t>Phillips 66 Food Plaza</t>
  </si>
  <si>
    <t>12602 E 31ST</t>
  </si>
  <si>
    <t>Mohamed Haque</t>
  </si>
  <si>
    <t>00-661-2613</t>
  </si>
  <si>
    <t>Pitts Energy Co.</t>
  </si>
  <si>
    <t>3313 Caldera Blvd</t>
  </si>
  <si>
    <t>79707-2823</t>
  </si>
  <si>
    <t>Steve Pitts</t>
  </si>
  <si>
    <t>12-725-2153</t>
  </si>
  <si>
    <t>Plains Marketing, L.P.</t>
  </si>
  <si>
    <t>Plains All American Pipeline</t>
  </si>
  <si>
    <t>333 Clay St Ste 1600</t>
  </si>
  <si>
    <t>77002-4101</t>
  </si>
  <si>
    <t>Greg L Armstrong</t>
  </si>
  <si>
    <t>Trucking, Except Local</t>
  </si>
  <si>
    <t>Liquid petroleum transport, non-local</t>
  </si>
  <si>
    <t>Specialized Freight (except Used Goods) Trucking, Long-Distance</t>
  </si>
  <si>
    <t>80-857-2916</t>
  </si>
  <si>
    <t>Plains GP Holdings, L.P.</t>
  </si>
  <si>
    <t>03-617-0624</t>
  </si>
  <si>
    <t>Plains All American Pipeline L.P.</t>
  </si>
  <si>
    <t>09-097-9485</t>
  </si>
  <si>
    <t>Ridgeway Arizona Oil Corp.</t>
  </si>
  <si>
    <t>Ridgeway Petroleum</t>
  </si>
  <si>
    <t>1250 Wood Branch Park Dr Ste 400</t>
  </si>
  <si>
    <t>77079-1214</t>
  </si>
  <si>
    <t>Andrew Hromyk</t>
  </si>
  <si>
    <t>10-547-5706</t>
  </si>
  <si>
    <t>Pedevco Corp.</t>
  </si>
  <si>
    <t>07-857-3639</t>
  </si>
  <si>
    <t>Pacific Energy Development Corp.</t>
  </si>
  <si>
    <t>01-982-0476</t>
  </si>
  <si>
    <t>801, Inc.</t>
  </si>
  <si>
    <t>1320 Monument St</t>
  </si>
  <si>
    <t>Pacific Palisades</t>
  </si>
  <si>
    <t>90272-2543</t>
  </si>
  <si>
    <t>CHIP JOHANNESSEN</t>
  </si>
  <si>
    <t>16-021-6909</t>
  </si>
  <si>
    <t>American Gathering L.P.</t>
  </si>
  <si>
    <t>Schafer</t>
  </si>
  <si>
    <t>State Hwy 152 N County Rd 240</t>
  </si>
  <si>
    <t>White Deer</t>
  </si>
  <si>
    <t>LARRY HALL</t>
  </si>
  <si>
    <t>Air and gas compressors</t>
  </si>
  <si>
    <t>03-629-3397</t>
  </si>
  <si>
    <t>Anderson Oil Company, Inc.</t>
  </si>
  <si>
    <t>Jr Food Market</t>
  </si>
  <si>
    <t>80 Virginia Ave</t>
  </si>
  <si>
    <t>Barnwell</t>
  </si>
  <si>
    <t>South Carolina</t>
  </si>
  <si>
    <t>29812-1424</t>
  </si>
  <si>
    <t>Terrill Neill Tuten</t>
  </si>
  <si>
    <t>Tires and Tubes</t>
  </si>
  <si>
    <t>Automobile tires and tubes</t>
  </si>
  <si>
    <t>Tire and Tube Merchant Wholesalers</t>
  </si>
  <si>
    <t>SC</t>
  </si>
  <si>
    <t>05-952-8781</t>
  </si>
  <si>
    <t>Arena Resources, LLC</t>
  </si>
  <si>
    <t>2112 Horseshoe Ln</t>
  </si>
  <si>
    <t>75605-5628</t>
  </si>
  <si>
    <t>WAYNE E FREEMAN</t>
  </si>
  <si>
    <t>01-231-7007</t>
  </si>
  <si>
    <t>William L Miller</t>
  </si>
  <si>
    <t>16639 Saint Clair Ave</t>
  </si>
  <si>
    <t>East Liverpool</t>
  </si>
  <si>
    <t>43920-9488</t>
  </si>
  <si>
    <t>WILLIAM L MILLER</t>
  </si>
  <si>
    <t>Accounting, auditing, and bookkeeping</t>
  </si>
  <si>
    <t>Accounting, Auditing, and Bookkeeping</t>
  </si>
  <si>
    <t>Certified public accountant</t>
  </si>
  <si>
    <t>Offices of Certified Public Accountants</t>
  </si>
  <si>
    <t>07-966-5361</t>
  </si>
  <si>
    <t>Blackbeard Operating, LLC</t>
  </si>
  <si>
    <t>200 N Loraine St Ste 300</t>
  </si>
  <si>
    <t>79701-4713</t>
  </si>
  <si>
    <t>Kaleb Smith</t>
  </si>
  <si>
    <t>03-556-1671</t>
  </si>
  <si>
    <t>Robert C McKay LLC</t>
  </si>
  <si>
    <t>100 Technology WY Ste 3750</t>
  </si>
  <si>
    <t>Mount Laurel</t>
  </si>
  <si>
    <t>New Jersey</t>
  </si>
  <si>
    <t>ROBERT C MCKAY</t>
  </si>
  <si>
    <t>Architectural Services</t>
  </si>
  <si>
    <t>Construction management</t>
  </si>
  <si>
    <t>Architectural engineering</t>
  </si>
  <si>
    <t>NJ</t>
  </si>
  <si>
    <t>01-754-5072</t>
  </si>
  <si>
    <t>Bonneville Fuels, LLC</t>
  </si>
  <si>
    <t>111 N Geneva Rd</t>
  </si>
  <si>
    <t>Orem</t>
  </si>
  <si>
    <t>Utah</t>
  </si>
  <si>
    <t>84059-4403</t>
  </si>
  <si>
    <t>Industrial organic chemicals, nec</t>
  </si>
  <si>
    <t>Industrial Organic Chemicals, Nec</t>
  </si>
  <si>
    <t>Fuels</t>
  </si>
  <si>
    <t>Petrochemical Manufacturing</t>
  </si>
  <si>
    <t>07-956-7341</t>
  </si>
  <si>
    <t>Palomar Natural Resources LLC</t>
  </si>
  <si>
    <t>Bridgecreek Resources Colorado</t>
  </si>
  <si>
    <t>1550 Wewatta St Ste 200</t>
  </si>
  <si>
    <t>80202-6305</t>
  </si>
  <si>
    <t>John Buggenhangen</t>
  </si>
  <si>
    <t>Financial services</t>
  </si>
  <si>
    <t>Financial Transactions Processing, Reserve, and Clearinghouse Activities</t>
  </si>
  <si>
    <t>00-688-5078</t>
  </si>
  <si>
    <t>Cortez</t>
  </si>
  <si>
    <t>07-841-3696</t>
  </si>
  <si>
    <t>Cano Petro of New Mexico Inc</t>
  </si>
  <si>
    <t>823 S Detroit Ave Ste 300</t>
  </si>
  <si>
    <t>74120-4281</t>
  </si>
  <si>
    <t>Richard Nichols</t>
  </si>
  <si>
    <t>60-085-5923</t>
  </si>
  <si>
    <t>Cano Petroleum, Inc.</t>
  </si>
  <si>
    <t>62-107-0452</t>
  </si>
  <si>
    <t>David R Heinson</t>
  </si>
  <si>
    <t>10000 X Rd</t>
  </si>
  <si>
    <t>Meade</t>
  </si>
  <si>
    <t>67864-9045</t>
  </si>
  <si>
    <t>Dump truck haulage</t>
  </si>
  <si>
    <t>Specialized Freight (except Used Goods) Trucking, Local</t>
  </si>
  <si>
    <t>96-808-8067</t>
  </si>
  <si>
    <t>Delaware Basin Midstream, LLC</t>
  </si>
  <si>
    <t>1221 Lamar St Ste 1100</t>
  </si>
  <si>
    <t>77010-3075</t>
  </si>
  <si>
    <t>John J Lendrum III</t>
  </si>
  <si>
    <t>07-861-9740</t>
  </si>
  <si>
    <t>Western Midstream Partners, LP</t>
  </si>
  <si>
    <t>80-910-7803</t>
  </si>
  <si>
    <t>Western Midstream Operating, LP</t>
  </si>
  <si>
    <t>02-430-0764</t>
  </si>
  <si>
    <t>Dkd, LLC</t>
  </si>
  <si>
    <t>11000 NW 11TH Ave</t>
  </si>
  <si>
    <t>Gainesville</t>
  </si>
  <si>
    <t>32606-5495</t>
  </si>
  <si>
    <t>STEVEN P LARSON</t>
  </si>
  <si>
    <t>Real estate agent, residential</t>
  </si>
  <si>
    <t>09-654-0448</t>
  </si>
  <si>
    <t>Driftwood Oil Co</t>
  </si>
  <si>
    <t>341 Hartman St</t>
  </si>
  <si>
    <t>67665-3301</t>
  </si>
  <si>
    <t>john sutton</t>
  </si>
  <si>
    <t>06-027-5109</t>
  </si>
  <si>
    <t>Elm Ridge Exploration Company LLC</t>
  </si>
  <si>
    <t>12225 Greenville Ave Ste 950</t>
  </si>
  <si>
    <t>75243-0597</t>
  </si>
  <si>
    <t>James M Clark Junior</t>
  </si>
  <si>
    <t>83-168-8572</t>
  </si>
  <si>
    <t>Energex Corporation</t>
  </si>
  <si>
    <t>95 Energex Dr</t>
  </si>
  <si>
    <t>Mifflintown</t>
  </si>
  <si>
    <t>Pennsylvania</t>
  </si>
  <si>
    <t>17059-7748</t>
  </si>
  <si>
    <t>John Burrows</t>
  </si>
  <si>
    <t>Reconstituted wood products</t>
  </si>
  <si>
    <t>Reconstituted Wood Products</t>
  </si>
  <si>
    <t>Reconstituted Wood Product Manufacturing</t>
  </si>
  <si>
    <t>08-104-5282</t>
  </si>
  <si>
    <t>Fattah Trading Company Inc.</t>
  </si>
  <si>
    <t>4545 W Armitage Ave</t>
  </si>
  <si>
    <t>Chicago</t>
  </si>
  <si>
    <t>60639-3403</t>
  </si>
  <si>
    <t>Abraham Fattah</t>
  </si>
  <si>
    <t>Candy and other confectionery products</t>
  </si>
  <si>
    <t>Candy and Other Confectionery Products</t>
  </si>
  <si>
    <t>Nonchocolate Confectionery Manufacturing</t>
  </si>
  <si>
    <t>02-575-1885</t>
  </si>
  <si>
    <t>FLUID COMPRESSOR PARTNERS</t>
  </si>
  <si>
    <t>6000 Western Pl Ste 720</t>
  </si>
  <si>
    <t>76107-4618</t>
  </si>
  <si>
    <t>K SEGURA</t>
  </si>
  <si>
    <t>Search and navigation equipment, nsk</t>
  </si>
  <si>
    <t>Search and Navigation Equipment</t>
  </si>
  <si>
    <t>Search and navigation equipment</t>
  </si>
  <si>
    <t>Search, Detection, Navigation, Guidance, Aeronautical, and Nautical System and Instrument Manufacturing</t>
  </si>
  <si>
    <t>12-125-3004</t>
  </si>
  <si>
    <t>Frontier Field Services, LLC</t>
  </si>
  <si>
    <t>4200 E Skelly Dr Ste 700</t>
  </si>
  <si>
    <t>74135-3256</t>
  </si>
  <si>
    <t>Richard A Cargile</t>
  </si>
  <si>
    <t>08-104-2596</t>
  </si>
  <si>
    <t>Durango Investment Holdings LLC</t>
  </si>
  <si>
    <t>08-104-3520</t>
  </si>
  <si>
    <t>Durango Midstream LLC</t>
  </si>
  <si>
    <t>00-422-9926</t>
  </si>
  <si>
    <t>Global Compressors</t>
  </si>
  <si>
    <t>1499 Parton Rd</t>
  </si>
  <si>
    <t>Canyon Lake</t>
  </si>
  <si>
    <t>78133-2167</t>
  </si>
  <si>
    <t>Business machine repair, electric</t>
  </si>
  <si>
    <t>Computer and Office Machine Repair and Maintenance</t>
  </si>
  <si>
    <t>11-734-0644</t>
  </si>
  <si>
    <t>Harvest Four Corners, LLC</t>
  </si>
  <si>
    <t>00-579-6745</t>
  </si>
  <si>
    <t>Martinez JB Inc</t>
  </si>
  <si>
    <t>10923 Sagewind Dr</t>
  </si>
  <si>
    <t>77089-3822</t>
  </si>
  <si>
    <t>JONATHAN MARTINEZ</t>
  </si>
  <si>
    <t>62-361-0941</t>
  </si>
  <si>
    <t>Jilpetco, Inc.</t>
  </si>
  <si>
    <t>701 S Taylor St Ste 390</t>
  </si>
  <si>
    <t>79101-2415</t>
  </si>
  <si>
    <t>Arnold J Miesner</t>
  </si>
  <si>
    <t>00-257-8310</t>
  </si>
  <si>
    <t>Amazing Energy Oil and Gas, Co.</t>
  </si>
  <si>
    <t>12-747-5952</t>
  </si>
  <si>
    <t>Lanexco Inc</t>
  </si>
  <si>
    <t>310 W Wall St Ste 910</t>
  </si>
  <si>
    <t>79701-5119</t>
  </si>
  <si>
    <t>Rae Ham</t>
  </si>
  <si>
    <t>01-180-3072</t>
  </si>
  <si>
    <t>Longfellow Energy, LP</t>
  </si>
  <si>
    <t>16803 Dallas Pkwy</t>
  </si>
  <si>
    <t>75001-5212</t>
  </si>
  <si>
    <t>Malone Mitchell III</t>
  </si>
  <si>
    <t>01-857-3261</t>
  </si>
  <si>
    <t>M &amp; M Oil, Inc.</t>
  </si>
  <si>
    <t>1632 Kingstown Rd</t>
  </si>
  <si>
    <t>Wakefield</t>
  </si>
  <si>
    <t>Rhode Island</t>
  </si>
  <si>
    <t>02879-8600</t>
  </si>
  <si>
    <t>Jeff Buckley</t>
  </si>
  <si>
    <t>00-254-3791</t>
  </si>
  <si>
    <t>Buckley &amp; Scott Inc</t>
  </si>
  <si>
    <t>RI</t>
  </si>
  <si>
    <t>10-946-2454</t>
  </si>
  <si>
    <t>02-150-3340</t>
  </si>
  <si>
    <t>Midcon Compression, L.L.C.</t>
  </si>
  <si>
    <t>80-984-9326</t>
  </si>
  <si>
    <t>Chesapeake Energy Marketing, L.L.C.</t>
  </si>
  <si>
    <t>04-270-3948</t>
  </si>
  <si>
    <t>M W Petroleum</t>
  </si>
  <si>
    <t>694 Pan AM Ln</t>
  </si>
  <si>
    <t>Franklin</t>
  </si>
  <si>
    <t>Louisiana</t>
  </si>
  <si>
    <t>70538-3935</t>
  </si>
  <si>
    <t>BRANDON LEPRETRE</t>
  </si>
  <si>
    <t>Petroleum brokers</t>
  </si>
  <si>
    <t>10-792-3621</t>
  </si>
  <si>
    <t>Permex Petroleum Company, LLC</t>
  </si>
  <si>
    <t>400 E College Blvd Ste C</t>
  </si>
  <si>
    <t>07-964-3174</t>
  </si>
  <si>
    <t>Rangeland Nm, LLC</t>
  </si>
  <si>
    <t>1675 S State St Ste B</t>
  </si>
  <si>
    <t>Dover</t>
  </si>
  <si>
    <t>Delaware</t>
  </si>
  <si>
    <t>19901-5140</t>
  </si>
  <si>
    <t>Christopher W Keene</t>
  </si>
  <si>
    <t>83-485-7778</t>
  </si>
  <si>
    <t>Rio Andeavor Holdings LLC</t>
  </si>
  <si>
    <t>02-576-5866</t>
  </si>
  <si>
    <t>Ranger 40 Petroleum, LLC</t>
  </si>
  <si>
    <t>1004 Collier Center Way Ste 200</t>
  </si>
  <si>
    <t>Naples</t>
  </si>
  <si>
    <t>34110-8469</t>
  </si>
  <si>
    <t>RICHARD A COUNTS</t>
  </si>
  <si>
    <t>17-194-8912</t>
  </si>
  <si>
    <t>Rice Oil Company Inc</t>
  </si>
  <si>
    <t>3725 Cardinal Ln</t>
  </si>
  <si>
    <t>Fort Wayne</t>
  </si>
  <si>
    <t>Indiana</t>
  </si>
  <si>
    <t>46815-5801</t>
  </si>
  <si>
    <t>Donald Rice III</t>
  </si>
  <si>
    <t>Eating places</t>
  </si>
  <si>
    <t>Eating Places</t>
  </si>
  <si>
    <t>Full-Service Restaurants</t>
  </si>
  <si>
    <t>IN</t>
  </si>
  <si>
    <t>05-168-6181</t>
  </si>
  <si>
    <t>Slayton Roger L CLU</t>
  </si>
  <si>
    <t>2321 Riverside Dr Ste 4</t>
  </si>
  <si>
    <t>Danville</t>
  </si>
  <si>
    <t>Virginia</t>
  </si>
  <si>
    <t>24540-4210</t>
  </si>
  <si>
    <t>Roger Slayton</t>
  </si>
  <si>
    <t>Insurance agents,brokers,and service,nsk</t>
  </si>
  <si>
    <t>Insurance Agents, Brokers, and Service</t>
  </si>
  <si>
    <t>Insurance brokers, nec</t>
  </si>
  <si>
    <t>Insurance Agencies and Brokerages</t>
  </si>
  <si>
    <t>18-955-9672</t>
  </si>
  <si>
    <t>Sagebrush Oil Inc</t>
  </si>
  <si>
    <t>1 HC 78 Box</t>
  </si>
  <si>
    <t>Beth Charles</t>
  </si>
  <si>
    <t>62-797-0296</t>
  </si>
  <si>
    <t>San Juan Resources, Inc.</t>
  </si>
  <si>
    <t>1499 Blake St APT 10C</t>
  </si>
  <si>
    <t>80202-1360</t>
  </si>
  <si>
    <t>JEROME MCHUGH Junior</t>
  </si>
  <si>
    <t>Amusement and Recreation, Nec</t>
  </si>
  <si>
    <t>Tour and guide services</t>
  </si>
  <si>
    <t>All Other Amusement and Recreation Industries</t>
  </si>
  <si>
    <t>01-060-9199</t>
  </si>
  <si>
    <t>San Juan Basin Properties LLC</t>
  </si>
  <si>
    <t>13-147-4575</t>
  </si>
  <si>
    <t>South-Tex Treaters Inc.</t>
  </si>
  <si>
    <t>1700 Dayton Rd</t>
  </si>
  <si>
    <t>79706-3811</t>
  </si>
  <si>
    <t>DAVID MORROW</t>
  </si>
  <si>
    <t>08-073-3511</t>
  </si>
  <si>
    <t>Stateline Gathering, , LLC</t>
  </si>
  <si>
    <t>01-166-8159</t>
  </si>
  <si>
    <t>George O Stevens</t>
  </si>
  <si>
    <t>Stevens Oil</t>
  </si>
  <si>
    <t>111 Grant Ave</t>
  </si>
  <si>
    <t>Plainfield</t>
  </si>
  <si>
    <t>07060-1007</t>
  </si>
  <si>
    <t>David Stevens</t>
  </si>
  <si>
    <t>61-420-6910</t>
  </si>
  <si>
    <t>10-570-2187</t>
  </si>
  <si>
    <t>Timberline Oil &amp; Gas Corporation</t>
  </si>
  <si>
    <t>4000 Penrose Pl</t>
  </si>
  <si>
    <t>Rapid City</t>
  </si>
  <si>
    <t>South Dakota</t>
  </si>
  <si>
    <t>57702-6837</t>
  </si>
  <si>
    <t>Brant Grote</t>
  </si>
  <si>
    <t>12-235-9578</t>
  </si>
  <si>
    <t>Twin Stars Compression, L.L.C.</t>
  </si>
  <si>
    <t>1009 Ridgeway Pl Ste 200</t>
  </si>
  <si>
    <t>87401-2092</t>
  </si>
  <si>
    <t>John Byrom</t>
  </si>
  <si>
    <t>Compressed gas</t>
  </si>
  <si>
    <t>83-689-9070</t>
  </si>
  <si>
    <t>Upland Produce Co. Inc</t>
  </si>
  <si>
    <t>7618 67TH Ave NE</t>
  </si>
  <si>
    <t>Brooks</t>
  </si>
  <si>
    <t>97305-9403</t>
  </si>
  <si>
    <t>Jim Zitzelberger</t>
  </si>
  <si>
    <t>Fresh fruits and vegetables</t>
  </si>
  <si>
    <t>Fresh Fruits and Vegetables</t>
  </si>
  <si>
    <t>Crop Preparation Services For Market</t>
  </si>
  <si>
    <t>Crop preparation services for market</t>
  </si>
  <si>
    <t>Fresh Fruit and Vegetable Merchant Wholesalers</t>
  </si>
  <si>
    <t>Postharvest Crop Activities (except Cotton Ginning)</t>
  </si>
  <si>
    <t>82-742-9601</t>
  </si>
  <si>
    <t>Versado Gas Processors, L.L.C.</t>
  </si>
  <si>
    <t>1000 Louisiana St Ste 4700</t>
  </si>
  <si>
    <t>77002-5021</t>
  </si>
  <si>
    <t>Kalyan Dusi</t>
  </si>
  <si>
    <t>Servicing oil and gas wells</t>
  </si>
  <si>
    <t>82-738-9847</t>
  </si>
  <si>
    <t>Targa Resources Corp.</t>
  </si>
  <si>
    <t>80-147-5463</t>
  </si>
  <si>
    <t>11-709-8949</t>
  </si>
  <si>
    <t>Western Refining Conan Gathering, LLC</t>
  </si>
  <si>
    <t>19100 Ridgewood Pkwy</t>
  </si>
  <si>
    <t>78259-1834</t>
  </si>
  <si>
    <t>00-652-7618</t>
  </si>
  <si>
    <t>Williams Products, Inc.</t>
  </si>
  <si>
    <t>1750 Maplelawn Dr</t>
  </si>
  <si>
    <t>Troy</t>
  </si>
  <si>
    <t>Michigan</t>
  </si>
  <si>
    <t>48084-4699</t>
  </si>
  <si>
    <t>Emiddio Zarro</t>
  </si>
  <si>
    <t>Gaskets; packing and sealing devices</t>
  </si>
  <si>
    <t>Gaskets; Packing and Sealing Devices</t>
  </si>
  <si>
    <t>Gaskets and sealing devices</t>
  </si>
  <si>
    <t>Gasket, Packing, and Sealing Device Manufacturing</t>
  </si>
  <si>
    <t>04-852-3781</t>
  </si>
  <si>
    <t>Yarborough Oil Co</t>
  </si>
  <si>
    <t>603 Ave O</t>
  </si>
  <si>
    <t>PAUL PRATHER</t>
  </si>
  <si>
    <t>11-460-7221</t>
  </si>
  <si>
    <t>D.W.R. Oil Properties, Inc.</t>
  </si>
  <si>
    <t>1049 N 3RD St Ste 200</t>
  </si>
  <si>
    <t>Abilene</t>
  </si>
  <si>
    <t>79601-5843</t>
  </si>
  <si>
    <t>00-660-9103</t>
  </si>
  <si>
    <t>Diamond In The Rough</t>
  </si>
  <si>
    <t>7200 S Ingleside Ave</t>
  </si>
  <si>
    <t>OCTAVIA RICHMOND</t>
  </si>
  <si>
    <t>Membership organizations, nec, nsk</t>
  </si>
  <si>
    <t>Membership Organizations, Nec</t>
  </si>
  <si>
    <t>Charitable organization</t>
  </si>
  <si>
    <t>Civic and Social Organizations</t>
  </si>
  <si>
    <t>10-561-5749</t>
  </si>
  <si>
    <t>Koch Exploration Company, LLC</t>
  </si>
  <si>
    <t>4111 E 37TH St N</t>
  </si>
  <si>
    <t>Wichita</t>
  </si>
  <si>
    <t>67220-3203</t>
  </si>
  <si>
    <t>John Mueller</t>
  </si>
  <si>
    <t>00-694-4334</t>
  </si>
  <si>
    <t>Koch Industries, Inc.</t>
  </si>
  <si>
    <t>02-162-1278</t>
  </si>
  <si>
    <t>M M Energy Inc</t>
  </si>
  <si>
    <t>13927 Quail Pointe Dr Ste A</t>
  </si>
  <si>
    <t>73134-1036</t>
  </si>
  <si>
    <t>16-971-4131</t>
  </si>
  <si>
    <t>04-681-3618</t>
  </si>
  <si>
    <t>Barry Lee, Inc.</t>
  </si>
  <si>
    <t>12821 Pine Needle Cv</t>
  </si>
  <si>
    <t>Olive Branch</t>
  </si>
  <si>
    <t>38654-6048</t>
  </si>
  <si>
    <t>BARRY LEE</t>
  </si>
  <si>
    <t>08-042-9778</t>
  </si>
  <si>
    <t>Christmas Company LLC</t>
  </si>
  <si>
    <t>4455 Camp Bowie Blvd Ste 114-50</t>
  </si>
  <si>
    <t>76107-3864</t>
  </si>
  <si>
    <t>David Abrams</t>
  </si>
  <si>
    <t>Building maintenance services, nec, nsk</t>
  </si>
  <si>
    <t>Building Maintenance Services, Nec</t>
  </si>
  <si>
    <t>Lighting maintenance service</t>
  </si>
  <si>
    <t>Janitorial Services</t>
  </si>
  <si>
    <t>62-129-1715</t>
  </si>
  <si>
    <t>Coulthurst Management and Investments, Inc</t>
  </si>
  <si>
    <t>5319 Broadway Ter APT 305</t>
  </si>
  <si>
    <t>Oakland</t>
  </si>
  <si>
    <t>94618-1404</t>
  </si>
  <si>
    <t>JOHN COULTHURST</t>
  </si>
  <si>
    <t>04-106-4759</t>
  </si>
  <si>
    <t>Finney's Marathon Service</t>
  </si>
  <si>
    <t>Finney Oil Co</t>
  </si>
  <si>
    <t>16447 N State Highway 49</t>
  </si>
  <si>
    <t>Casey</t>
  </si>
  <si>
    <t>62420-3022</t>
  </si>
  <si>
    <t>CHARLES G FINNEY</t>
  </si>
  <si>
    <t>01-193-9719</t>
  </si>
  <si>
    <t>Freedom Energy LLC</t>
  </si>
  <si>
    <t>7685 173RD St W</t>
  </si>
  <si>
    <t>Lakeville</t>
  </si>
  <si>
    <t>Minnesota</t>
  </si>
  <si>
    <t>55044-7523</t>
  </si>
  <si>
    <t>JACK WEBER</t>
  </si>
  <si>
    <t>02-499-7209</t>
  </si>
  <si>
    <t>Lg &amp; S Oil Company, LLC</t>
  </si>
  <si>
    <t>1234 W Cochiti Ave</t>
  </si>
  <si>
    <t>88240-1128</t>
  </si>
  <si>
    <t>LOUIS G EDGETT</t>
  </si>
  <si>
    <t>08-035-9984</t>
  </si>
  <si>
    <t>Llj Ventures, LLC</t>
  </si>
  <si>
    <t>750 B St Ste 3020</t>
  </si>
  <si>
    <t>San Diego</t>
  </si>
  <si>
    <t>92101-8192</t>
  </si>
  <si>
    <t>Leonardo Simpser</t>
  </si>
  <si>
    <t>11-793-3632</t>
  </si>
  <si>
    <t>3100 McKinnon St Ste 800 # 800</t>
  </si>
  <si>
    <t>94-716-7490</t>
  </si>
  <si>
    <t>Raymond A Pierce DDS</t>
  </si>
  <si>
    <t>2137 W 95TH St</t>
  </si>
  <si>
    <t>60643-1018</t>
  </si>
  <si>
    <t>Raymond A Pierce D.D.S.</t>
  </si>
  <si>
    <t>Offices and clinics of dentists</t>
  </si>
  <si>
    <t>Offices and Clinics of Dentists</t>
  </si>
  <si>
    <t>Offices of Dentists</t>
  </si>
  <si>
    <t>Standard Match</t>
  </si>
  <si>
    <t>Name Only Match</t>
  </si>
  <si>
    <t>Match Method</t>
  </si>
  <si>
    <t>Occidental</t>
  </si>
  <si>
    <t>Vicki A Hollub</t>
  </si>
  <si>
    <t>Apache</t>
  </si>
  <si>
    <t>2000 Post Oak Blvd Ste 100</t>
  </si>
  <si>
    <t>77056-4400</t>
  </si>
  <si>
    <t>John J Christmann IV</t>
  </si>
  <si>
    <t>Archrock</t>
  </si>
  <si>
    <t>1 St. James's Square</t>
  </si>
  <si>
    <t>LONDON</t>
  </si>
  <si>
    <t>SW1Y 4PD</t>
  </si>
  <si>
    <t>Melody Boone Meyer</t>
  </si>
  <si>
    <t>Bass Bros Enterprises</t>
  </si>
  <si>
    <t>201 Main St</t>
  </si>
  <si>
    <t>76102-3187</t>
  </si>
  <si>
    <t>Sid R Bass</t>
  </si>
  <si>
    <t>1001 17TH St Ste 1800</t>
  </si>
  <si>
    <t>80202-2058</t>
  </si>
  <si>
    <t>Mark G Papa</t>
  </si>
  <si>
    <t>Mark D Whitley</t>
  </si>
  <si>
    <t>1700 N Lincoln St Ste 3700</t>
  </si>
  <si>
    <t>80203-4553</t>
  </si>
  <si>
    <t>Thomas E Jorden</t>
  </si>
  <si>
    <t>Barton Oaks Plz 1 Ste 430 901 Mopac Expwy S</t>
  </si>
  <si>
    <t>KENNETH C NELSON</t>
  </si>
  <si>
    <t>Devon</t>
  </si>
  <si>
    <t>73102-5015</t>
  </si>
  <si>
    <t>David A Hager</t>
  </si>
  <si>
    <t>Kmi</t>
  </si>
  <si>
    <t>1001 Louisiana St Ste 1000</t>
  </si>
  <si>
    <t>Steven J Kean</t>
  </si>
  <si>
    <t>Diamondback</t>
  </si>
  <si>
    <t>500 W Texas Ave Ste 1200</t>
  </si>
  <si>
    <t>79701-4203</t>
  </si>
  <si>
    <t>Travis D Stice</t>
  </si>
  <si>
    <t>ENERGY TRANSFER</t>
  </si>
  <si>
    <t>John B Walker</t>
  </si>
  <si>
    <t>Jonathan C Curth</t>
  </si>
  <si>
    <t>2828 N Harwood St Ste 1300</t>
  </si>
  <si>
    <t>75201-2174</t>
  </si>
  <si>
    <t>16479 Dallas Pkwy Ste 850</t>
  </si>
  <si>
    <t>75001-6906</t>
  </si>
  <si>
    <t>74136-3302</t>
  </si>
  <si>
    <t>Legacy Reserves</t>
  </si>
  <si>
    <t>303 W Wall St Ste 1800</t>
  </si>
  <si>
    <t>79701-5106</t>
  </si>
  <si>
    <t>James Daniel Westcott</t>
  </si>
  <si>
    <t>274 Riverside Ave Ste 3B</t>
  </si>
  <si>
    <t>Westport</t>
  </si>
  <si>
    <t>Connecticut</t>
  </si>
  <si>
    <t>06880-4823</t>
  </si>
  <si>
    <t>Mark McCall</t>
  </si>
  <si>
    <t>Venture capital companies</t>
  </si>
  <si>
    <t>Marathon Oil</t>
  </si>
  <si>
    <t>Lee M Tillman</t>
  </si>
  <si>
    <t>3901 S Broadway Ave</t>
  </si>
  <si>
    <t>75701-8716</t>
  </si>
  <si>
    <t>Kenneth Waits</t>
  </si>
  <si>
    <t>1100 Louisiana St FL 10</t>
  </si>
  <si>
    <t>77002-5432</t>
  </si>
  <si>
    <t>A James Teague</t>
  </si>
  <si>
    <t>Co-Chief Executive Officer</t>
  </si>
  <si>
    <t>2445 Technology Forest Blvd Bldg 4</t>
  </si>
  <si>
    <t>77381-5259</t>
  </si>
  <si>
    <t>Sivasankaran Somasundaram</t>
  </si>
  <si>
    <t>Gas field machinery and equipment</t>
  </si>
  <si>
    <t>Oil refining machinery, equipment, and supplies</t>
  </si>
  <si>
    <t>1 Landmark Sq Ste 1100</t>
  </si>
  <si>
    <t>Stamford</t>
  </si>
  <si>
    <t>06901-2607</t>
  </si>
  <si>
    <t>CHARLES E DRIMAL</t>
  </si>
  <si>
    <t>29 E Reno Ave Ste 500</t>
  </si>
  <si>
    <t>Bobby D Riley</t>
  </si>
  <si>
    <t>15 E 5TH St Ste 1000</t>
  </si>
  <si>
    <t>74103-4311</t>
  </si>
  <si>
    <t>Joseph A Mills</t>
  </si>
  <si>
    <t>Chevron</t>
  </si>
  <si>
    <t>6001 Bollinger Canyon Rd</t>
  </si>
  <si>
    <t>San Ramon</t>
  </si>
  <si>
    <t>94583-5737</t>
  </si>
  <si>
    <t>Michael K Wirth</t>
  </si>
  <si>
    <t>Larry D Pinkston</t>
  </si>
  <si>
    <t>1400 Sweet Home Rd Ste 5</t>
  </si>
  <si>
    <t>Buffalo</t>
  </si>
  <si>
    <t>14228-2777</t>
  </si>
  <si>
    <t>Joseph M Jayson</t>
  </si>
  <si>
    <t>UNIVAR</t>
  </si>
  <si>
    <t>3075 Highland Pkwy Ste 200</t>
  </si>
  <si>
    <t>Downers Grove</t>
  </si>
  <si>
    <t>60515-5560</t>
  </si>
  <si>
    <t>David C Jukes</t>
  </si>
  <si>
    <t>Industrial chemicals</t>
  </si>
  <si>
    <t>TEN EARLSFORT TERRACE</t>
  </si>
  <si>
    <t>DUBLIN 2</t>
  </si>
  <si>
    <t>D02T380</t>
  </si>
  <si>
    <t>DR. THOMAS ENDERS</t>
  </si>
  <si>
    <t>Trusts, nec</t>
  </si>
  <si>
    <t>Trusts, Nec</t>
  </si>
  <si>
    <t>Trust, Fiduciary, and Custody Activities</t>
  </si>
  <si>
    <t>Vitol Netherlands CoÃ¶peratief UA</t>
  </si>
  <si>
    <t>K.P. van der Mandelelaan 130</t>
  </si>
  <si>
    <t>Rotterdam</t>
  </si>
  <si>
    <t>ZUID-HOLLAND</t>
  </si>
  <si>
    <t>3062 MB</t>
  </si>
  <si>
    <t>Miguel Angel Loya</t>
  </si>
  <si>
    <t>Registered Principal</t>
  </si>
  <si>
    <t>Securities Brokerage</t>
  </si>
  <si>
    <t>Exxonmobil</t>
  </si>
  <si>
    <t>5959 Las Colinas Blvd</t>
  </si>
  <si>
    <t>75039-2298</t>
  </si>
  <si>
    <t>Darren W Woods</t>
  </si>
  <si>
    <t>MATADOR</t>
  </si>
  <si>
    <t>Joseph Wm Foran</t>
  </si>
  <si>
    <t>777 E Wisconsin Ave Ste 1920</t>
  </si>
  <si>
    <t>Milwaukee</t>
  </si>
  <si>
    <t>Wisconsin</t>
  </si>
  <si>
    <t>53202-5341</t>
  </si>
  <si>
    <t>Daniel F Mc Keithan Junior</t>
  </si>
  <si>
    <t>Whiting</t>
  </si>
  <si>
    <t>1700 N Lincoln St Ste 4700</t>
  </si>
  <si>
    <t>80203-4547</t>
  </si>
  <si>
    <t>Lynn A Peterson</t>
  </si>
  <si>
    <t>408 Saint Peter St Ste 434</t>
  </si>
  <si>
    <t>Saint Paul</t>
  </si>
  <si>
    <t>55102-1119</t>
  </si>
  <si>
    <t>Katherine Haskins</t>
  </si>
  <si>
    <t>CHESAPEAKE ENERGY</t>
  </si>
  <si>
    <t>Barry E Davis</t>
  </si>
  <si>
    <t>EOG RESOURCES</t>
  </si>
  <si>
    <t>1111 Bagby St Lbby 2</t>
  </si>
  <si>
    <t>William R Thomas</t>
  </si>
  <si>
    <t>Silverbow Resources</t>
  </si>
  <si>
    <t>575 N Dairy Ashford Rd Ste 1200</t>
  </si>
  <si>
    <t>77079-1126</t>
  </si>
  <si>
    <t>Sean C Woolverton</t>
  </si>
  <si>
    <t>Genesis</t>
  </si>
  <si>
    <t>919 Milam St Ste 2100</t>
  </si>
  <si>
    <t>77002-5417</t>
  </si>
  <si>
    <t>Grant E Sims</t>
  </si>
  <si>
    <t>Petroleum bulk stations and terminals</t>
  </si>
  <si>
    <t>Industrial Buildings and Warehouses</t>
  </si>
  <si>
    <t>Factory construction</t>
  </si>
  <si>
    <t>Commercial and Institutional Building Construction</t>
  </si>
  <si>
    <t>Lilis Energy</t>
  </si>
  <si>
    <t>201 Main St Ste 700</t>
  </si>
  <si>
    <t>76102-3134</t>
  </si>
  <si>
    <t>Double T Ranch</t>
  </si>
  <si>
    <t>325 N Saint Paul St Ste 4300</t>
  </si>
  <si>
    <t>75201-3806</t>
  </si>
  <si>
    <t>James Cleo Thompson Junior</t>
  </si>
  <si>
    <t>MICHAEL J HENNIGAN</t>
  </si>
  <si>
    <t xml:space="preserve">1223 Lower Water St </t>
  </si>
  <si>
    <t>Halifax</t>
  </si>
  <si>
    <t>NOVA SCOTIA</t>
  </si>
  <si>
    <t>B3J 3S8</t>
  </si>
  <si>
    <t>Scott Balfour</t>
  </si>
  <si>
    <t>74136-4233</t>
  </si>
  <si>
    <t>H Michael Krimbill</t>
  </si>
  <si>
    <t>Gases, liquefied petroleum (propane)</t>
  </si>
  <si>
    <t>455 boul RenÃ©-LÃ©vesque O</t>
  </si>
  <si>
    <t>MontrÃ©al</t>
  </si>
  <si>
    <t>QUEBEC</t>
  </si>
  <si>
    <t>H2Z 1Z3</t>
  </si>
  <si>
    <t>Ian L. Edwards</t>
  </si>
  <si>
    <t>Real estate managers</t>
  </si>
  <si>
    <t>Marathon Petroleum</t>
  </si>
  <si>
    <t>539 S Main St</t>
  </si>
  <si>
    <t>45840-3229</t>
  </si>
  <si>
    <t>Michael J Hennigan</t>
  </si>
  <si>
    <t>Huron Ventures</t>
  </si>
  <si>
    <t>James R Latimer III</t>
  </si>
  <si>
    <t>9950 Woodloch Forest Dr</t>
  </si>
  <si>
    <t>77380-3991</t>
  </si>
  <si>
    <t>Michael P Ure</t>
  </si>
  <si>
    <t>Custom Computer Programming Services</t>
  </si>
  <si>
    <t>Computer software development and applications</t>
  </si>
  <si>
    <t>Pioneer</t>
  </si>
  <si>
    <t>777 Hidden RDG</t>
  </si>
  <si>
    <t>75038-3802</t>
  </si>
  <si>
    <t>Scott D Sheffield</t>
  </si>
  <si>
    <t>2002 Timberloch Pl Ste 110</t>
  </si>
  <si>
    <t>77380-1182</t>
  </si>
  <si>
    <t>Rick Cargile</t>
  </si>
  <si>
    <t>Natural gas liquids production</t>
  </si>
  <si>
    <t>Amazing Energy</t>
  </si>
  <si>
    <t>5700 W Plano Pkwy Ste 3600</t>
  </si>
  <si>
    <t>75093-2455</t>
  </si>
  <si>
    <t>Willard McAndrew</t>
  </si>
  <si>
    <t>67220-3298</t>
  </si>
  <si>
    <t>Charles G Koch</t>
  </si>
  <si>
    <t>101 Corliss St</t>
  </si>
  <si>
    <t>Providence</t>
  </si>
  <si>
    <t>02904-2621</t>
  </si>
  <si>
    <t>DAVID L BUCKLEY</t>
  </si>
  <si>
    <t>PLAINS GP HOLDINGS</t>
  </si>
  <si>
    <t>Willie Chiang</t>
  </si>
  <si>
    <t>Simon Kukes</t>
  </si>
  <si>
    <t>JERRY MCHUGH</t>
  </si>
  <si>
    <t>Targa</t>
  </si>
  <si>
    <t>811 Louisiana St Ste 2100</t>
  </si>
  <si>
    <t>77002-1412</t>
  </si>
  <si>
    <t>Matthew J Meloy</t>
  </si>
  <si>
    <t>Global DUNS #</t>
  </si>
  <si>
    <t xml:space="preserve">Here is some information to assist you in understanding the Matching Fields contained on the spreadsheet.  </t>
  </si>
  <si>
    <t>Columns A-M is information you gave us, N-R is Data to help examine the Results (which we describe below), and the Remaining Columns show the Appended Data.</t>
  </si>
  <si>
    <t>Match Results</t>
  </si>
  <si>
    <r>
      <t>I have sequenced the file in descending order by confidence code so the strongest matches, the one’s listed with a confidence code of “10” come first</t>
    </r>
    <r>
      <rPr>
        <sz val="11"/>
        <color rgb="FF0000FF"/>
        <rFont val="Comic Sans MS"/>
        <family val="4"/>
      </rPr>
      <t>.  We typically recommend appending to all records with a confidence level of 7 or higher.  Below I have included information on how to read the “Match” elements.  We would be happy to go over the results with you if you have a few minutes and want a bit more insight.  </t>
    </r>
  </si>
  <si>
    <t>Match Reports</t>
  </si>
  <si>
    <t>Enclosed is an explanation of the Confidence Code, Matchgrade, Match Code and Bemfab indicators included in the file.  We match to the entire D&amp;B file, not just what they consider to be marketable records.  What that means is that companies who are out of business will be matched as well as ones that are incomplete records, but with confirmed business operations.  If a record is missing a Contact Name or Phone Number or SIC Code it will not be in the Marketable Record file until that data element can be obtained or confirmed.  This gives our customers an advantage over having the record be a Non-Match due to being either out of business or delisted at the customer’s request. </t>
  </si>
  <si>
    <t xml:space="preserve">Confidence codes indicate the strength of match or our “Confidence Level” in that particular match.  10 is the highest confidence level for a matched record down to 4 which is the loosest match.  Typically all records matched at 7 or higher are strong matches. Some Clients like to keep the 6’s, but these are often loose matches. 5’s and 4’s are either just a Company Name or Physical Address match so we typically don’t append to them.  </t>
  </si>
  <si>
    <t>MatchGrade Indicators</t>
  </si>
  <si>
    <t>Match Grades should be interpreted in the following way:</t>
  </si>
  <si>
    <r>
      <t>A -</t>
    </r>
    <r>
      <rPr>
        <sz val="11"/>
        <color rgb="FF0000FF"/>
        <rFont val="Comic Sans MS"/>
        <family val="4"/>
      </rPr>
      <t xml:space="preserve"> </t>
    </r>
    <r>
      <rPr>
        <b/>
        <u/>
        <sz val="11"/>
        <color rgb="FF0000FF"/>
        <rFont val="Comic Sans MS"/>
        <family val="4"/>
      </rPr>
      <t>Same:</t>
    </r>
    <r>
      <rPr>
        <sz val="11"/>
        <color rgb="FF0000FF"/>
        <rFont val="Comic Sans MS"/>
        <family val="4"/>
      </rPr>
      <t xml:space="preserve"> ABC WIDGET MFG vs. ABC Widgeting MFG</t>
    </r>
  </si>
  <si>
    <r>
      <t>B -</t>
    </r>
    <r>
      <rPr>
        <sz val="11"/>
        <color rgb="FF0000FF"/>
        <rFont val="Comic Sans MS"/>
        <family val="4"/>
      </rPr>
      <t xml:space="preserve"> </t>
    </r>
    <r>
      <rPr>
        <b/>
        <u/>
        <sz val="11"/>
        <color rgb="FF0000FF"/>
        <rFont val="Comic Sans MS"/>
        <family val="4"/>
      </rPr>
      <t>Similar</t>
    </r>
    <r>
      <rPr>
        <sz val="11"/>
        <color rgb="FF0000FF"/>
        <rFont val="Comic Sans MS"/>
        <family val="4"/>
      </rPr>
      <t>: ABC Widget MFG vs. ABC MFG</t>
    </r>
  </si>
  <si>
    <r>
      <t>F -</t>
    </r>
    <r>
      <rPr>
        <sz val="11"/>
        <color rgb="FF0000FF"/>
        <rFont val="Comic Sans MS"/>
        <family val="4"/>
      </rPr>
      <t xml:space="preserve"> </t>
    </r>
    <r>
      <rPr>
        <b/>
        <u/>
        <sz val="11"/>
        <color rgb="FF0000FF"/>
        <rFont val="Comic Sans MS"/>
        <family val="4"/>
      </rPr>
      <t>Different</t>
    </r>
    <r>
      <rPr>
        <sz val="11"/>
        <color rgb="FF0000FF"/>
        <rFont val="Comic Sans MS"/>
        <family val="4"/>
      </rPr>
      <t>: ABC Widget MFG vs. XYZ MFG</t>
    </r>
  </si>
  <si>
    <r>
      <t xml:space="preserve">Z </t>
    </r>
    <r>
      <rPr>
        <sz val="11"/>
        <color rgb="FF0000FF"/>
        <rFont val="Comic Sans MS"/>
        <family val="4"/>
      </rPr>
      <t xml:space="preserve">- </t>
    </r>
    <r>
      <rPr>
        <b/>
        <u/>
        <sz val="11"/>
        <color rgb="FF0000FF"/>
        <rFont val="Comic Sans MS"/>
        <family val="4"/>
      </rPr>
      <t>Null</t>
    </r>
    <r>
      <rPr>
        <sz val="11"/>
        <color rgb="FF0000FF"/>
        <rFont val="Comic Sans MS"/>
        <family val="4"/>
      </rPr>
      <t>: One or Both are Null (Blank)</t>
    </r>
  </si>
  <si>
    <t>This is the sequence in which the matchgrade string reflects each data element – Example: AAAAAZA</t>
  </si>
  <si>
    <t>1.  Business Name</t>
  </si>
  <si>
    <t>2.  Street Address Number</t>
  </si>
  <si>
    <t>3.  Street Name</t>
  </si>
  <si>
    <t>4.  City</t>
  </si>
  <si>
    <t>5.  State</t>
  </si>
  <si>
    <t>6.  PO</t>
  </si>
  <si>
    <t>7.  Phone</t>
  </si>
  <si>
    <t>Bemfab Indicators</t>
  </si>
  <si>
    <t>M = Match to Marketable Record File</t>
  </si>
  <si>
    <t>N = Non-Duns numbered record which means unknown record and no data appended</t>
  </si>
  <si>
    <t>A = Dun’s numbered record that has been flagged as undeliverable.  Industry will be appended in all cases except Conf. Code “4”’s.</t>
  </si>
  <si>
    <t>D = At customer’s request the record has been De-listed.  Can’t sell company name but can append Industry code</t>
  </si>
  <si>
    <t>O = Unconfirmed record or confirmed as Out of business</t>
  </si>
  <si>
    <t>X =  Unable to identify.  No reason given.</t>
  </si>
  <si>
    <t>S = SIC 9999, Undetermined Line of Business</t>
  </si>
  <si>
    <t>*Indicators listed in Red will not have valid NAICS Codes returned on the listed record.  Those are in the Non-Marketable Record File.</t>
  </si>
  <si>
    <t>Number</t>
  </si>
  <si>
    <t>Percent</t>
  </si>
  <si>
    <t>Records with an “O”  in the bemfab reflect companies that D&amp;B has concluded are not active based on their inability to make contact with them or prove that they are a still existing entity.  That said, if you have evidence to indicate that these organizations are still active, then its generally good to go with your Primary source of evidence for this than not.  In our use case, when we see a bemfab with an “O” or “A” for a client we haven’t been in touch with in a couple or more years, we treat the business as inactive, but it’s up to you how you utilize the info based on your use case.</t>
  </si>
  <si>
    <t>Records with an “A” can show complete Report information – they have been flagged because D&amp;B’s attempts to verify their address/contact information have proven futile so far.  If D&amp;B continues to be unable to verify their existence over an extended period of time, these records eventually switch to an “O” rating.</t>
  </si>
  <si>
    <t>The hierarchy code is a two-digit field which determines the records relative position in a family tree by indicating its relationship to other records. The hierarchy code functions in the following way- Global Ultimates have a hierarchy code of- 01. Subsidiaries have a hierarchy code of one greater than their parents. Branches have a hierarchy code equal to their headquarters. A hierarchy code of 0 indicates that Linkage is not established.</t>
  </si>
  <si>
    <t>Total Number</t>
  </si>
  <si>
    <t>Not matched</t>
  </si>
  <si>
    <t>GULT Employment</t>
  </si>
  <si>
    <t>Matched records where Global Parent (including single locations) is identified</t>
  </si>
  <si>
    <t>Matched records with useable revenue data</t>
  </si>
  <si>
    <t>Matched records with useable employment data</t>
  </si>
  <si>
    <t>Matched records with useable data for  both revenue and employment</t>
  </si>
  <si>
    <t>Matched records (excludes #2 and #3)</t>
  </si>
  <si>
    <t>Name only match</t>
  </si>
  <si>
    <t>NOTES on Match</t>
  </si>
  <si>
    <t>Can't find enough information on either company. Rejecting match</t>
  </si>
  <si>
    <t>Accept Match?</t>
  </si>
  <si>
    <t>No</t>
  </si>
  <si>
    <t>Yes</t>
  </si>
  <si>
    <t>More likely that this operator is part of Anderson Oil Ltd. 5005 Woodway Dr Ste 300. $4.58 million Annual Revenue
Houston​, TX, 77056-1784 
(713) 652-5746</t>
  </si>
  <si>
    <t>Matched to a organization supporting girls in Chicago area.</t>
  </si>
  <si>
    <t>Matched to realtor</t>
  </si>
  <si>
    <t>Found a different address for ENERGEX, LLC  that might be more appropriate: PO BOX 1973, LAS CRUCES, NM, 88004</t>
  </si>
  <si>
    <t>Names don't match. Very unrelated NAICS</t>
  </si>
  <si>
    <t>Links to Vending Machine servicing company</t>
  </si>
  <si>
    <t>Doubt these are the same. Not useable either way - no rev and employment data.</t>
  </si>
  <si>
    <t>Does not appear to be in same corporate tree</t>
  </si>
  <si>
    <t>Found headquarters address: 123 E MARCY ST, SANTA FE, NM, 87501 USA</t>
  </si>
  <si>
    <t>Matches to a dentist</t>
  </si>
  <si>
    <t>Matches to a restaurant business</t>
  </si>
  <si>
    <t>Matches to insurance broker</t>
  </si>
  <si>
    <t>Found another address: 1304 WEST ASPEN STREET, LOVINGTON, NM, 88260 USA</t>
  </si>
  <si>
    <t>Company Name</t>
  </si>
  <si>
    <t>Primary Address</t>
  </si>
  <si>
    <t>PO Box</t>
  </si>
  <si>
    <t>Primary City</t>
  </si>
  <si>
    <t>Primary State</t>
  </si>
  <si>
    <t>Primary Zip</t>
  </si>
  <si>
    <t>Primary Country</t>
  </si>
  <si>
    <t>Primary phone</t>
  </si>
  <si>
    <t>Name only match (low confidence)</t>
  </si>
  <si>
    <t>Matched records considered to be single location (single location that is not a subsidiary)</t>
  </si>
  <si>
    <t>NAICS Associated with highest level entity</t>
  </si>
  <si>
    <t>NAICS Industry Description</t>
  </si>
  <si>
    <t>Size Standards 
in millions of dollars</t>
  </si>
  <si>
    <t>Size standards in number of employees</t>
  </si>
  <si>
    <t>See footnote 4</t>
  </si>
  <si>
    <t>NAICS code 324110 – To qualify as small for purposes of Government procurement, the petroleum refiner, including its affiliates, must be a concern that has either no more than 1,500 employees or no more than 200,000 barrels per calendar day total Operable Atmospheric Crude Oil Distillation capacity.  Capacity includes all domestic and foreign affiliates, all owned or leased facilities, and all facilities under a processing agreement or an arrangement such as an exchange agreement or a throughput.  To qualify under the capacity size standard, the firm, together with its affiliates, must be primarily engaged in refining crude petroleum into refined petroleum products.  A firm’s “primary industry” is determined in accordance with 13 CFR § 121.107.</t>
  </si>
  <si>
    <t>Trust, Fiduciary and Custody Activities</t>
  </si>
  <si>
    <t>See footnote 9</t>
  </si>
  <si>
    <t xml:space="preserve">NAICS codes 531110, 531120, 531130, and 531190 – Leasing of building space to the Federal Government by Owners: For Government procurement, a size standard of $41.5 million in gross receipts applies to the owners of building space leased to the Federal Government. The standard does not apply to an agent. </t>
  </si>
  <si>
    <t>See footnote 10</t>
  </si>
  <si>
    <t>NAICS codes 488510, 531210, 541810, 561510, 561520 and 561920 – As measured by total revenues, but excluding funds received in trust for an unaffiliated third party, such as bookings or sales subject to commissions.  The commissions received are included as revenue.</t>
  </si>
  <si>
    <t xml:space="preserve">Other Scientific and Technical Consulting Services  </t>
  </si>
  <si>
    <r>
      <t>Petroleum Refineries</t>
    </r>
    <r>
      <rPr>
        <vertAlign val="superscript"/>
        <sz val="11"/>
        <color indexed="8"/>
        <rFont val="Calibri"/>
        <family val="2"/>
      </rPr>
      <t>4</t>
    </r>
  </si>
  <si>
    <r>
      <t>Lessors of Residential Buildings and Dwellings</t>
    </r>
    <r>
      <rPr>
        <vertAlign val="superscript"/>
        <sz val="11"/>
        <color rgb="FF000000"/>
        <rFont val="Calibri"/>
        <family val="2"/>
      </rPr>
      <t>9</t>
    </r>
  </si>
  <si>
    <r>
      <t>Lessors of Other Real Estate Property</t>
    </r>
    <r>
      <rPr>
        <vertAlign val="superscript"/>
        <sz val="11"/>
        <color rgb="FF000000"/>
        <rFont val="Calibri"/>
        <family val="2"/>
      </rPr>
      <t>9</t>
    </r>
  </si>
  <si>
    <r>
      <t>Offices of Real Estate Agents and Brokers</t>
    </r>
    <r>
      <rPr>
        <vertAlign val="superscript"/>
        <sz val="11"/>
        <color indexed="8"/>
        <rFont val="Calibri"/>
        <family val="2"/>
      </rPr>
      <t>10</t>
    </r>
  </si>
  <si>
    <t>Size Standard in dollars</t>
  </si>
  <si>
    <t>Definition Type</t>
  </si>
  <si>
    <t>Revenue Definition</t>
  </si>
  <si>
    <t>Employment Definition</t>
  </si>
  <si>
    <t>SBA Small?</t>
  </si>
  <si>
    <t>Revenue or Employment</t>
  </si>
  <si>
    <t>Employment</t>
  </si>
  <si>
    <t>Notes</t>
  </si>
  <si>
    <t>Unique Number of Ultimate Parents</t>
  </si>
  <si>
    <t>Ultimate Parents with Duplicates</t>
  </si>
  <si>
    <t>Revenue</t>
  </si>
  <si>
    <t>Revenue Ranges</t>
  </si>
  <si>
    <t>$50,001 - $100,000</t>
  </si>
  <si>
    <t>$100,001 - $500,000</t>
  </si>
  <si>
    <t>$500,001 - $1,000,000</t>
  </si>
  <si>
    <t>$1,000,001 - $5,000,000</t>
  </si>
  <si>
    <t>$5,000,001 - $100,000,000</t>
  </si>
  <si>
    <t>$100,000,001 - $1,000,000,000</t>
  </si>
  <si>
    <t>$1,000,000,001 -$125,000,000,000</t>
  </si>
  <si>
    <t>&gt;$125,000,000,000</t>
  </si>
  <si>
    <t>GULT Revenue Range</t>
  </si>
  <si>
    <t>&lt; $50,001</t>
  </si>
  <si>
    <t>Notes from NAICS.COM Delivered with the file:</t>
  </si>
  <si>
    <t>ERG Used Google Searches including: https://opencorporates.com/, CorporationWiki,com, Manta.com, Bizstanding.com, Buzzfile.com, https://www.dnb.com/business-directory,  to check addresses.</t>
  </si>
  <si>
    <t xml:space="preserve">A Single Location entity does not own any other Companies and does not only any Branches.  However, it can, be owned by a Parent.  </t>
  </si>
  <si>
    <t>From SBA Size Standards Spreadsheet*</t>
  </si>
  <si>
    <r>
      <t xml:space="preserve">* U. S. Small Business Administration
</t>
    </r>
    <r>
      <rPr>
        <sz val="11"/>
        <color indexed="8"/>
        <rFont val="Calibri"/>
        <family val="2"/>
        <scheme val="minor"/>
      </rPr>
      <t xml:space="preserve">Table of Small Business Size Standards
Matched to
North American Industry Classification System Codes
</t>
    </r>
    <r>
      <rPr>
        <i/>
        <sz val="11"/>
        <rFont val="Calibri"/>
        <family val="2"/>
        <scheme val="minor"/>
      </rPr>
      <t>Effective August 19, 2019</t>
    </r>
  </si>
  <si>
    <t>https://www.sba.gov/sites/default/files/2019-08/SBA%20Table%20of%20Size%20Standards_Effective%20Aug%2019,%202019.pdf</t>
  </si>
  <si>
    <t>Final Match Disposition</t>
  </si>
  <si>
    <t>Matched with Rev &amp; Emp</t>
  </si>
  <si>
    <t>GULT Instance</t>
  </si>
  <si>
    <t>Small based on the SBA definition</t>
  </si>
  <si>
    <t>Not Small based on the SBA definition</t>
  </si>
  <si>
    <t>Small Business Administration (SBA) Size Definitions</t>
  </si>
  <si>
    <t>Global Ultimate Parent (GULT) Revenue</t>
  </si>
  <si>
    <t>NAICS.COM Appended Record Firmographics</t>
  </si>
  <si>
    <t>NAICS.COM Match Fields</t>
  </si>
  <si>
    <t>NM Operator Data</t>
  </si>
  <si>
    <t>NAICS.COM Global Ultimate Parent Firmagraphics</t>
  </si>
  <si>
    <t>User Area 4</t>
  </si>
  <si>
    <t>User Area 5</t>
  </si>
  <si>
    <t># Non-Stripper Wells</t>
  </si>
  <si>
    <t># Stripper Wells</t>
  </si>
  <si>
    <t>Total Gas</t>
  </si>
  <si>
    <t>Total Oil</t>
  </si>
  <si>
    <t>Well/Prod Data</t>
  </si>
  <si>
    <t>not in the production data tab of this spreadsheet</t>
  </si>
  <si>
    <t xml:space="preserve">AMEREDEV OPERATING, LLC                      </t>
  </si>
  <si>
    <t xml:space="preserve">AMERICO ENERGY RESOURCES LLC                 </t>
  </si>
  <si>
    <t xml:space="preserve">APACHE CORPORATION                           </t>
  </si>
  <si>
    <t>not in the production data tab of this spreadsheet - is in owner address list with a different address than "APACHE CORPORATION"</t>
  </si>
  <si>
    <t xml:space="preserve">not in the production data tab of this spreadsheet </t>
  </si>
  <si>
    <t>Delete?</t>
  </si>
  <si>
    <t>Same as BP on next row</t>
  </si>
  <si>
    <t xml:space="preserve">BTA OIL PRODUCERS, LLC                       </t>
  </si>
  <si>
    <t xml:space="preserve">BURNETT OIL CO INC                           </t>
  </si>
  <si>
    <t>Add CHEVRON USA production totals to this record?</t>
  </si>
  <si>
    <t>There is a CHEVRON USA in the production tab and also in the owner address list from Liz (in this list, CHEVRON USA and CHEVRON MIDCONTINENT have the same address. The production tab, however, show separate production amounts for each.</t>
  </si>
  <si>
    <t xml:space="preserve">CHEVRON MIDCONTINENT, L.P.                   </t>
  </si>
  <si>
    <t xml:space="preserve">CHISHOLM ENERGY OPERATING, LLC               </t>
  </si>
  <si>
    <t xml:space="preserve">CIMAREX ENERGY CO. OF COLORADO               </t>
  </si>
  <si>
    <t xml:space="preserve">CIMAREX ENERGY CO.                           </t>
  </si>
  <si>
    <t xml:space="preserve">CITATION OIL &amp; GAS CORP                      </t>
  </si>
  <si>
    <t xml:space="preserve">COG OPERATING LLC                            </t>
  </si>
  <si>
    <t xml:space="preserve">COLGATE OPERATING, LLC                       </t>
  </si>
  <si>
    <t>These two continental resources could be the same.  Same name one PO box, one street address, same city.</t>
  </si>
  <si>
    <t xml:space="preserve">DEVON ENERGY PRODUCTION COMPANY, LP          </t>
  </si>
  <si>
    <t xml:space="preserve">DJR OPERATING, LLC                           </t>
  </si>
  <si>
    <t>These two Dugan Productin Corp s could be the same.  Same name one PO box, one street address, same city.</t>
  </si>
  <si>
    <t xml:space="preserve">3300 North "A" Street </t>
  </si>
  <si>
    <t>These to EOG Resources are the same - have exact same address.</t>
  </si>
  <si>
    <t xml:space="preserve">Grizzly Operating, LLC                       </t>
  </si>
  <si>
    <t>These two could be the same. One PO Box, one street address, same town,state. Neither in production data tab.</t>
  </si>
  <si>
    <t xml:space="preserve">JUNIPER RESOURCES EXPLORATION COMPANY, LLC   </t>
  </si>
  <si>
    <t>Add LANEXCO INC Quantity?</t>
  </si>
  <si>
    <t>I think this record should also include LANEXCO INC from the production data tab</t>
  </si>
  <si>
    <t xml:space="preserve">LANEXCO INC. DBA LANEXCO NEW MEXICO          </t>
  </si>
  <si>
    <t xml:space="preserve">LEGACY RESERVES OPERATING, LP                </t>
  </si>
  <si>
    <t xml:space="preserve">LOGOS OPERATING, LLC                         </t>
  </si>
  <si>
    <t xml:space="preserve">LONGFELLOW ENERGY, LP                        </t>
  </si>
  <si>
    <t xml:space="preserve">MACK ENERGY CORP                             </t>
  </si>
  <si>
    <t xml:space="preserve">MARATHON OIL PERMIAN LLC                     </t>
  </si>
  <si>
    <t xml:space="preserve">MATADOR PRODUCTION COMPANY                   </t>
  </si>
  <si>
    <t>Commerce City​</t>
  </si>
  <si>
    <t xml:space="preserve">MEWBOURNE OIL CO                             </t>
  </si>
  <si>
    <t xml:space="preserve">Murchison Oil and Gas, LLC                   </t>
  </si>
  <si>
    <t xml:space="preserve">Mustang Resources LLC                        </t>
  </si>
  <si>
    <t xml:space="preserve">NOVO OIL &amp; GAS NORTHERN DELAWARE, LLC        </t>
  </si>
  <si>
    <t xml:space="preserve">OCCIDENTAL PERMIAN LTD                       </t>
  </si>
  <si>
    <t>Could be the same Oryx entity. One is a po box the other is a street address. Same city, state. Neither are in the production data tab.</t>
  </si>
  <si>
    <t>Add OXY USA WTP LIMITED PARTNERSHIP  quantity?</t>
  </si>
  <si>
    <t>This record should probably also include OXY USA WTP LIMITED PARTNERSHIP.  Address is an exact match. This record is also found in the production data tab</t>
  </si>
  <si>
    <t xml:space="preserve">OXY USA INC                                  </t>
  </si>
  <si>
    <t xml:space="preserve">RILEY PERMIAN OPERATING COMPANY, LLC         </t>
  </si>
  <si>
    <t xml:space="preserve">ROBERT L BAYLESS PRODUCER LLC                </t>
  </si>
  <si>
    <t xml:space="preserve">SG INTERESTS I LTD                           </t>
  </si>
  <si>
    <t xml:space="preserve">SMC OIL &amp; GAS, INC.                          </t>
  </si>
  <si>
    <t xml:space="preserve">SOUTHLAND ROYALTY COMPANY LLC                </t>
  </si>
  <si>
    <t xml:space="preserve">STEWARD ENERGY II, LLC                       </t>
  </si>
  <si>
    <t xml:space="preserve">SUNDOWN ENERGY LP                            </t>
  </si>
  <si>
    <t xml:space="preserve">TAP ROCK OPERATING, LLC                      </t>
  </si>
  <si>
    <t>c/o Dewbre Petroleum Corporation
802 N Carancahua</t>
  </si>
  <si>
    <t>yes</t>
  </si>
  <si>
    <t xml:space="preserve">WPX Energy Permian, LLC                      </t>
  </si>
  <si>
    <t xml:space="preserve">XTO ENERGY, INC                              </t>
  </si>
  <si>
    <t>Total:</t>
  </si>
  <si>
    <t>Production ID Match</t>
  </si>
  <si>
    <t>ID</t>
  </si>
  <si>
    <t>Clean Name &amp; Address</t>
  </si>
  <si>
    <t>3BEARDELAWAREOPERATINGNMLLC1512LARIMERSTDENVER</t>
  </si>
  <si>
    <t>AMERICOENERGYRESOURCESLLC7575SANFELIPEHOUSTON</t>
  </si>
  <si>
    <t>AMTEXENERGYINCPOBOX470158FTWORTH</t>
  </si>
  <si>
    <t>ANADARKOPETROLEUMCORPORATIONPOBOX1330HOUSTON</t>
  </si>
  <si>
    <t>APACHECORPORATION303VETERANSAIRPARKLANEMIDLAND</t>
  </si>
  <si>
    <t>ARCHROCKSERVICESLP9807KATYFREEWAYHOUSTON</t>
  </si>
  <si>
    <t>ARMSTRONGENERGYCORPPOBOX1973ROSWELL</t>
  </si>
  <si>
    <t>ASCENTENERGYLLC112517THSTDENVER</t>
  </si>
  <si>
    <t>ATLANTICRICHFIELDCOMPANY1701SUMMITPLANO</t>
  </si>
  <si>
    <t>BAMPERMIANOPERATINGLLC4416BRIARWOODAVEMIDLAND</t>
  </si>
  <si>
    <t>BCOPERATINGINCPOBOX50820MIDLAND</t>
  </si>
  <si>
    <t>BEACHEXPLORATIONINC800NORTHMARIENFELDMIDLAND</t>
  </si>
  <si>
    <t>BENSONMONTINGREERDRILLINGCORP4900COLLEGEBLVDFARMINGTON</t>
  </si>
  <si>
    <t>BETTISBOYLE&amp;STOVALLINCPOBOX1240GRAHAM</t>
  </si>
  <si>
    <t>BOPCOLP6401HOLIDAYHILLRDMIDLAND</t>
  </si>
  <si>
    <t>BPPIPELINES(NORTHAMERICA)INC28100TORCHPKWYWARRENVILLE</t>
  </si>
  <si>
    <t>BREITBURNOPERATINGLP111BAGBYSTHOUSTON</t>
  </si>
  <si>
    <t>BTAOILPRODUCERSLLC104SOUTHPECOSSTMIDLAND</t>
  </si>
  <si>
    <t>BUFFCOPRODUCTIONINCPOBOX2243LONGVIEW</t>
  </si>
  <si>
    <t>BURGUNDYOIL&amp;GASOFNMINC505NBIGSPRINGSTMIDLAND</t>
  </si>
  <si>
    <t>BURKROYALTYCOLTDPOBOX94903WICHITAFALLS</t>
  </si>
  <si>
    <t>BURNETTOILCOINC801CHERRYSTREETFORTWORTH</t>
  </si>
  <si>
    <t>C&amp;DMANAGEMENTCOMPANYDBAFREEDOMVENTURES513DONLYLEROADEDMONTON</t>
  </si>
  <si>
    <t>CAMBRIANMANAGEMENTLTDPOBOX272MIDLAND</t>
  </si>
  <si>
    <t>CAPROCKEXPLORATIONINCPOBOX7288ODESSA</t>
  </si>
  <si>
    <t>CATENARESOURCESOPERATINGLLC18402USHWY281NSANANTONIO</t>
  </si>
  <si>
    <t>CAZAOPERATINGLLC200NLORAINESTMIDLAND</t>
  </si>
  <si>
    <t>CCISANJUANLLC99ROAD6500KIRTLAND</t>
  </si>
  <si>
    <t>CENTENNIALRESOURCEPRODUCTIONLLC100117THSTREETDENVER</t>
  </si>
  <si>
    <t>CHAPARRALOIL&amp;GASCOPOBOX100AZTEC</t>
  </si>
  <si>
    <t>CHARGERRESOURCES9001AIRPORTFREEWAYNORTHRICHLANDHILLS</t>
  </si>
  <si>
    <t>CHIOPERATINGINCPOBOX1799MIDLAND</t>
  </si>
  <si>
    <t>CHISHOLMENERGYOPERATINGLLC801CHERRYSTREETFORTWORTH</t>
  </si>
  <si>
    <t>CHISOSLTD1331LAMARSTREETHOUSTON</t>
  </si>
  <si>
    <t>CIMAREXENERGYCOOFCOLORADO202SCHEYENNEAVETULSA</t>
  </si>
  <si>
    <t>CIMAREXENERGYCO600NMARIENFELDSTREETMIDLAND</t>
  </si>
  <si>
    <t>CMLEXPLORATIONLLCPOBOX890SNYDER</t>
  </si>
  <si>
    <t>CO2INC1809SMIDKIFFMIDLAND</t>
  </si>
  <si>
    <t>COBRAOIL&amp;GASCORPORATIONPOBOX8206WICHITAFALLS</t>
  </si>
  <si>
    <t>COGOPERATINGLLC600WILLINOISAVEMIDLAND</t>
  </si>
  <si>
    <t>COLEMANOIL&amp;GASINCPODRAWER3337FARMINGTON</t>
  </si>
  <si>
    <t>COMPRESSORSYSTEMSINC3809SFM1788MIDLAND</t>
  </si>
  <si>
    <t>CONOCOPHILLIPS935NELDRIDGEPKWYHOUSTON</t>
  </si>
  <si>
    <t>CONOCOPHILLIPSCOMPANYPOBOX2197HOUSTON</t>
  </si>
  <si>
    <t>CONTINENTALRESOURCESINC20NBROADWAYOKLAHOMACITY</t>
  </si>
  <si>
    <t>CORONADOENERGYE&amp;PCOMPANYLLC1001LOUISIANASTREETHOUSTON</t>
  </si>
  <si>
    <t>CROSSTIMBERSENERGYLLC400WEST7THSTREETFORTWORTH</t>
  </si>
  <si>
    <t>CROWNQUESTOPERATINGLLCPOBOX53310MIDLAND</t>
  </si>
  <si>
    <t>DMSOILCO3000WILCRESTHOUSTON</t>
  </si>
  <si>
    <t>DAKOTARESOURCESINC(I)4519SANTAROSAMIDLAND</t>
  </si>
  <si>
    <t>DAVISGASPROCESSING211NCOLORADOMIDLAND</t>
  </si>
  <si>
    <t>DEVONENERGYPRODUCTIONCOMPANYLP333WESTSHERIDANAVENUEOKLAHOMACITY</t>
  </si>
  <si>
    <t>DINEROOPERATINGCOPOBOX10505MIDLAND</t>
  </si>
  <si>
    <t>DOMINIONPRODUCTIONCOMPANYLLC1414WSWANNAVENUETAMPA</t>
  </si>
  <si>
    <t>DUGANPRODUCTIONCORPPOBOX420FARMINGTON</t>
  </si>
  <si>
    <t>DUGANPRODUCTIONCORP709EMURRAYDRIVEFARMINGTON</t>
  </si>
  <si>
    <t>EGLRESOURCESINCPOBOX10886MIDLAND</t>
  </si>
  <si>
    <t>EASTLANDOILCOPOBOX3488MIDLAND</t>
  </si>
  <si>
    <t>ELPASONATURALGASCOMPANYLLC2NORTHNEVADAAVENUECOLORADOSPRINGS</t>
  </si>
  <si>
    <t>ENDEAVORENERGYRESOURCESLP110NORTHMARIENFELDMIDLAND</t>
  </si>
  <si>
    <t>ENDURAENERGYLLC513EZIAHOBBS</t>
  </si>
  <si>
    <t>ENDURINGRESOURCESLLC105017THSTREETDENVER</t>
  </si>
  <si>
    <t>ENERDYNELLCPOBOX502ALBUQUERQUE</t>
  </si>
  <si>
    <t>ENERGENRESOURCES2010AFTONPLACEFARMINGTON</t>
  </si>
  <si>
    <t>ENERGENRESOURCESCORPORATION3510NASTMIDLAND</t>
  </si>
  <si>
    <t>ENERGYTRANSFERCOMPANY8111WESTCHESTERDRDALLAS</t>
  </si>
  <si>
    <t>ENERGYQUESTIILLC4526RESEARCHFORESTDRTHEWOODLANDS</t>
  </si>
  <si>
    <t>ENERVESTOPERATINGLLC1001FANNINSTREETHOUSTON</t>
  </si>
  <si>
    <t>ENRONCORPORATIONPOBOX1188HOUSTON</t>
  </si>
  <si>
    <t>ERNMARINVESTMENTSINCPOBOX6492EDMOND</t>
  </si>
  <si>
    <t>ETLHYDROCARBONSINCPOBOX1413ANDREWS</t>
  </si>
  <si>
    <t>EVERQUESTENERGYCORPORATION532COOLWATERRANCHRDFREDERICKSBURG</t>
  </si>
  <si>
    <t>FASKENOIL&amp;RANCHLTD6101HOLIDAYHILLROADMIDLAND</t>
  </si>
  <si>
    <t>FDLOPERATINGLLC5221NO'CONNORBLVDIRVING</t>
  </si>
  <si>
    <t>FEAGANGATHERINGPOBOX50307MIDLAND</t>
  </si>
  <si>
    <t>FINLEYRESOURCESINC1308LAKESTREETFORTWORTH</t>
  </si>
  <si>
    <t>FLINTOAKENERGYLLC1703WESTFIELDLOOPRDHOUSTON</t>
  </si>
  <si>
    <t>FORTYACRESENERGYLLC11757KATYFRWYHOUSTON</t>
  </si>
  <si>
    <t>FOUNDATIONENERGYMANAGEMENTLLC5057KELLERSPRINGSRDADDISON</t>
  </si>
  <si>
    <t>FRANKLINMOUNTAINENERGYLLC44COOKSTREETDENVER</t>
  </si>
  <si>
    <t>FULFEROIL&amp;CATTLELLCPOBOX1224JAL</t>
  </si>
  <si>
    <t>GASCOOFNMPOBOX1899BLOOMFIELD</t>
  </si>
  <si>
    <t>GOLDENOILHOLDINGCORPORATION2000BERINGDRIVEHOUSTON</t>
  </si>
  <si>
    <t>GPIIENERGYINCPODRAWER53507MIDLAND</t>
  </si>
  <si>
    <t>GRANDBANKSENERGYCO10DESTADRIVEMIDLAND</t>
  </si>
  <si>
    <t>GREATWESTERNDRILLINGCOPOBOX1659MIDLAND</t>
  </si>
  <si>
    <t>GRIZZLYOPERATINGLLC5847SANFELIPEHOUSTON</t>
  </si>
  <si>
    <t>GULFEXPLORATIONLLC9701NBROADWAYEXTOKLAHOMACITY</t>
  </si>
  <si>
    <t>HLBROWNOPERATINGLLCPOBOX2237MIDLAND</t>
  </si>
  <si>
    <t>HANSONOPERATINGCOINCPOBOX1515ROSWELL</t>
  </si>
  <si>
    <t>HARLOWENTERPRISESLLC26CHALKBLUFFRDARTESIA</t>
  </si>
  <si>
    <t>HARVARDPETROLEUMCOMPANYLLC200ESECONDROSWELL</t>
  </si>
  <si>
    <t>HARVESTPIPELINECOMPANYLLC1111TRAVISSTREETHOUSTON</t>
  </si>
  <si>
    <t>HENRYPRODUCTIONINC3440MORNINGSTARDRFARMINGTON</t>
  </si>
  <si>
    <t>HIGHPLAINSPETROLEUMCORP3860CARLOCKDRBOULDER</t>
  </si>
  <si>
    <t>HILCORPENERGYCOMPANY1111TRAVISSTREETHOUSTON</t>
  </si>
  <si>
    <t>HOLCOMBOIL&amp;GASINCPOBOX2058FARMINGTON</t>
  </si>
  <si>
    <t>HOLLYENERGYPARTNERSOPERATINGLP1602WESTMAINARTESIA</t>
  </si>
  <si>
    <t>HOLLYFRONTIERNAVAJOREFININGLLCPOBOX159ARTESIA</t>
  </si>
  <si>
    <t>HORSESHOEOPERATINGINCPOBOX51790MIDLAND</t>
  </si>
  <si>
    <t>HPOCLLCPOBOX1898CUBA</t>
  </si>
  <si>
    <t>HPPCINC306WWALL209MIDLAND</t>
  </si>
  <si>
    <t>HUNTCIMARRONLIMITEDPARTNERSHIPPOBOX1592ROSWELL</t>
  </si>
  <si>
    <t>HUNTINGTONENERGYLLC908NW71STSTREETOKLAHOMACITY</t>
  </si>
  <si>
    <t>J&amp;JSERVICEINCPOBOX324LOVINGTON</t>
  </si>
  <si>
    <t>JROILLTDCOPOBOX2975HOBBS</t>
  </si>
  <si>
    <t>JACKHUFFPOBOX50190MIDLAND</t>
  </si>
  <si>
    <t>JALAPENOCORPORATIONPOBOX1608ALBUQUERQUE</t>
  </si>
  <si>
    <t>JAYMANAGEMENTCOMPANYLLC11767KATYFWYHOUSTON</t>
  </si>
  <si>
    <t>JKMENERGYLLC26ECOMPRESSROADARTESIA</t>
  </si>
  <si>
    <t>JOINTRESOURCESCOMPANY5416BIRCHMANAVENUEFORTWORTH</t>
  </si>
  <si>
    <t>JPHOILPRODUCERSDBAJIMMYPHODGEPOBOX565LOVINGTON</t>
  </si>
  <si>
    <t>JUDAHOILLLCPOBOX568ARTESIA</t>
  </si>
  <si>
    <t>JUNIPERRESOURCESEXPLORATIONCOMPANYLLC5128APACHEPLUMEROADFORTWORTH</t>
  </si>
  <si>
    <t>JWOPERATINGCOMPANY15505WRIGHTBROTHERSDRIVEADDISON</t>
  </si>
  <si>
    <t>KPKAUFFMANCOMPANYINC1675BROADWAYDENVER</t>
  </si>
  <si>
    <t>KAISERFRANCISOILCOPOBOX21468TULSA</t>
  </si>
  <si>
    <t>KCICOMPRESSION6105W68THSTTULSA</t>
  </si>
  <si>
    <t>KCSMEDALLIONRESOURCES7130SLEWISAVETULSA</t>
  </si>
  <si>
    <t>KERSEY&amp;COMPANYPOBOX1248FREDERICKSBURG</t>
  </si>
  <si>
    <t>KEVINOBUTLER&amp;ASSOCINCPOBOX1171MIDLAND</t>
  </si>
  <si>
    <t>KINNEYINCORPORATEDPOBOX809ANDREWS</t>
  </si>
  <si>
    <t>LEGACYRESERVESOPERATINGLP303WWALLMIDLAND</t>
  </si>
  <si>
    <t>LHOPERATINGLLC4809COLEAVEDALLAS</t>
  </si>
  <si>
    <t>LIMEROCKRESOURCESIIALP1111BAGBYSTREETHOUSTON</t>
  </si>
  <si>
    <t>LIVELYEXPLORATIONCO2450FONDRENHOUSTON</t>
  </si>
  <si>
    <t>LMTOUCHDOWNLLC2850NHARWOODDALLAS</t>
  </si>
  <si>
    <t>LYNXOPERATINGCOINC4849GREENVILLEAVEDALLAS</t>
  </si>
  <si>
    <t>LYNXPETROLEUMCONSULTANTSINCPOBOX1708HOBBS</t>
  </si>
  <si>
    <t>M&amp;GDRLGCOINCPOBOX5940FARMINGTON</t>
  </si>
  <si>
    <t>M&amp;MPRODUCTION&amp;OPERATION5006SANDALWOODDRFARMINGTON</t>
  </si>
  <si>
    <t>MANANAGASINC2520TRAMWAYTERRACECTNEALBUQUERQUE</t>
  </si>
  <si>
    <t>MAROIL&amp;GASCORPPOBOX5155SANTAFE</t>
  </si>
  <si>
    <t>MARALEXRESOURCESINCPOBOX338IGNACIO</t>
  </si>
  <si>
    <t>MARATHONOILPERMIANLLC5555SANFELIPESTREETHOUSTON</t>
  </si>
  <si>
    <t>MARKLSHIDLERINC1313CAMPBELLROADHOUSTON</t>
  </si>
  <si>
    <t>MARSHALL&amp;WINSTONINCPOBOX50880MIDLAND</t>
  </si>
  <si>
    <t>MASOPERATINGCOPOBOX52167MIDLAND</t>
  </si>
  <si>
    <t>MAVERICKOPERATINGLLC1004NBIGSPRINGSTREETMIDLAND</t>
  </si>
  <si>
    <t>MCDONNOLDOPERATINGINC505NBIGSPRINGMIDLAND</t>
  </si>
  <si>
    <t>MCGOWANWORKINGPARTNERSINCPOBOX55809JACKSON</t>
  </si>
  <si>
    <t>MCKAYOILCORPORATIONPOBOX2014ROSWELL</t>
  </si>
  <si>
    <t>MEADCOPROPERTIESLTDPOBOX2236MIDLAND</t>
  </si>
  <si>
    <t>MERRIONOIL&amp;GASCORP610REILLYAVENUEFARMINGTON</t>
  </si>
  <si>
    <t>METEXOIL&amp;GASINC119EBENDERBLVDHOBBS</t>
  </si>
  <si>
    <t>MIDAMERICAPIPELINECOMPANYLLCPOBOX4324HOUSTON</t>
  </si>
  <si>
    <t>MINELINC314WOODCRESTDRRICHARDSON</t>
  </si>
  <si>
    <t>MITCHELLENERGYPOBOX4000THEWOODLANDS</t>
  </si>
  <si>
    <t>MNAENTERPRISESLTDCO106WALABAMASTREETHOBBS</t>
  </si>
  <si>
    <t>MOMENTUMOPERATINGCOINCPOBOX2439ALBANY</t>
  </si>
  <si>
    <t>MORNINGSTARPARTNERSLP400WEST7THSTREETFORTWORTH</t>
  </si>
  <si>
    <t>MURCHISONOILANDGASLLC5325SIERRAVISTACARLSBAD</t>
  </si>
  <si>
    <t>MUSTANGRESOURCESLLC1660LINCOLNSTREETDENVER</t>
  </si>
  <si>
    <t>NALCOCOMPANYPOBOX87SUGARLAND</t>
  </si>
  <si>
    <t>NAUMANNOIL&amp;GASINCPOBOX1886SANTAFE</t>
  </si>
  <si>
    <t>NORTHFORKOPERATINGLP1000WWILSHIREBOULEVARDNICHOLSHILLS</t>
  </si>
  <si>
    <t>NOVYOIL&amp;GASINCPOBOX559GODDARD</t>
  </si>
  <si>
    <t>ORYXDELAWAREOILTRANSPORTLLC4000NBIGSPRINGSTMIDLAND</t>
  </si>
  <si>
    <t>OSBORNHEIRSCOPOBOX17968SANANTONIO</t>
  </si>
  <si>
    <t>OXYUSAINC5GREENWAYPLAZAHOUSTON</t>
  </si>
  <si>
    <t>PARALLELPETROLEUMLLC1004NBIGSPRINGMIDLAND</t>
  </si>
  <si>
    <t>PARKER&amp;PARSLEY600WILLINOISMIDLAND</t>
  </si>
  <si>
    <t>PECOSPRODUCTIONCO400WESTILLINOISMIDLAND</t>
  </si>
  <si>
    <t>PENROCOILCORP1515CALLESURHOBBS</t>
  </si>
  <si>
    <t>PETROLIAENERGYCORPORATION710NPOSTOAKRDHOUSTON</t>
  </si>
  <si>
    <t>POCORESOURCESLLC3307ECASTLEBERRYROADARTESIA</t>
  </si>
  <si>
    <t>PREMIEROIL&amp;GASINCPOBOX837205RICHARDSON</t>
  </si>
  <si>
    <t>PRIDEENERGYCOMPANYPOBOX701950TULSA</t>
  </si>
  <si>
    <t>PRIDEPIPELINE3223SLOOP289LUBBOCK</t>
  </si>
  <si>
    <t>PRIMAEXPLORATIONINC250FILLMORESTREETDENVER</t>
  </si>
  <si>
    <t>PRIMEOPERATINGCO3300NASTREETMIDLAND</t>
  </si>
  <si>
    <t>PRIMEROOPERATINGINCPOBOX1433ROSWELL</t>
  </si>
  <si>
    <t>PROMANAGEMENTINC13601PRESTONRDDALLAS</t>
  </si>
  <si>
    <t>PRODUCTIONOPERATORSINC4000LOMASFARMINGTON</t>
  </si>
  <si>
    <t>PURVISOPERATINGCOPOBOX51990MIDLAND</t>
  </si>
  <si>
    <t>RAMENERGYLLC5100EASTSKELLYDRIVETULSA</t>
  </si>
  <si>
    <t>RAYWESTALLOPERATINGINCPOBOX4LOCOHILLS</t>
  </si>
  <si>
    <t>READ&amp;STEVENSINCPOBOX1518ROSWELL</t>
  </si>
  <si>
    <t>REDWOLFPRODUCTIONINCPOBOX5382FARMINGTON</t>
  </si>
  <si>
    <t>REGENERATIONENERGYCORPORATIONPOBOX210ARTESIA</t>
  </si>
  <si>
    <t>RELIABLEPRODUCTIONLLC407OURAYAVEFARMINGTON</t>
  </si>
  <si>
    <t>RELIANCEENERGYINC300NMARIENFELDMIDLAND</t>
  </si>
  <si>
    <t>RHOMBUSOPERATINGCOLTDPOBOX627LITTLETON</t>
  </si>
  <si>
    <t>RICHARDSONOPERATINGCO4601DTCBOULEVARDDENVER</t>
  </si>
  <si>
    <t>RILEYPERMIANOPERATINGCOMPANYLLC29ERENOOKLAHOMACITY</t>
  </si>
  <si>
    <t>RIMOPERATINGINC5INVERNESSDRIVEEASTENGLEWOOD</t>
  </si>
  <si>
    <t>RINGENERGYINCPOBOX11350MIDLAND</t>
  </si>
  <si>
    <t>RMROPERATINGLLC14282GILLISROADFARMERSBRANCH</t>
  </si>
  <si>
    <t>ROBERTHFORRESTJROILLLC609ELORADRCARLSBAD</t>
  </si>
  <si>
    <t>ROBERTLBAYLESSPRODUCERLLCPOBOX168FARMINGTON</t>
  </si>
  <si>
    <t>ROBERTSONRESOURCESINCPOBOX9415MIDLAND</t>
  </si>
  <si>
    <t>ROBERTSONBRYCEMANAGEMENTLLC3650OLDBULLARDROADTYLER</t>
  </si>
  <si>
    <t>ROCKCREEKRESOURCESLLC9781SMERIDIANBLVDENGLEWOOD</t>
  </si>
  <si>
    <t>ROVEROPERATINGLLC17304PRESTONROADDALLAS</t>
  </si>
  <si>
    <t>RUBICONOIL&amp;GASLLC508WWALLAVENUEMIDLAND</t>
  </si>
  <si>
    <t>RUSTOILCORP6300RIDGLEAPLFTWORTH</t>
  </si>
  <si>
    <t>S&amp;JOIL&amp;GASCOPOBOX100AZTEC</t>
  </si>
  <si>
    <t>SABINALENERGYOPERATINGLLC1780HUGHESLANDINGBLVDTHEWOODLANDS</t>
  </si>
  <si>
    <t>SAGUAROPETROLEUMLLC1509WWALLSTSTE100MIDLAND</t>
  </si>
  <si>
    <t>SAHARAOPERATINGCOPOBOX4130MIDLAND</t>
  </si>
  <si>
    <t>SAMSONRESOURCES2WESTSECONDSTTULSA</t>
  </si>
  <si>
    <t>SANMARCOPETROLEUMINC240MILWAUKEEDENVER</t>
  </si>
  <si>
    <t>SAXETOILCORPORATIONPOBOX187MIDLAND</t>
  </si>
  <si>
    <t>SEELYOILCO815W10THSTFTWORTH</t>
  </si>
  <si>
    <t>SEGUROOILANDGASLLC407NBIGSPRINGSTSTE215MIDLAND</t>
  </si>
  <si>
    <t>SENDEROCARLSBADMIDSTREAMLLC1000LOUISIANASTHOUSTON</t>
  </si>
  <si>
    <t>SHERIDANPRODUCTIONCOMPANYLLC1360POSTOAKBLVDHOUSTON</t>
  </si>
  <si>
    <t>SHINNERYOILCOMPANYINC606WTENNESSEEAVEMIDLAND</t>
  </si>
  <si>
    <t>SHIPROCKMIDSTREAMLLCDBAWHIPTAILMIDSTREAM15WEST6THSTREETTULSA</t>
  </si>
  <si>
    <t>SHORELINEOIL&amp;GASCOMPANY5006SANDALWOODDRFARMINGTON</t>
  </si>
  <si>
    <t>SIMCOELLC1199MAINAVEDURANGO</t>
  </si>
  <si>
    <t>SLAYTONRESOURCESINCPOBOX2035ROSWELL</t>
  </si>
  <si>
    <t>SNOWOIL&amp;GASINCPOBOX1277ANDREWS</t>
  </si>
  <si>
    <t>SNOWOPERATINGCOINC6300MIDWAYRDHALTOMCITY</t>
  </si>
  <si>
    <t>SOUTHBOUNDGASCOMPANY1909WOODALLRODGERSFREEWAYDALLAS</t>
  </si>
  <si>
    <t>SOUTHLANDROYALTYCOMPANYLLC400W7THSTFORTWORTH</t>
  </si>
  <si>
    <t>SOUTHWESTROYALTIESINCPOBOX53570MIDLAND</t>
  </si>
  <si>
    <t>SOZONATURALRESOURCESLLC5005RIVERWAYDRHOUSTON</t>
  </si>
  <si>
    <t>SPECIALENERGYCORPPODRAWER369STILLWATER</t>
  </si>
  <si>
    <t>SPINDLETOPOIL&amp;GASCO12850SPURLINGRDDALLAS</t>
  </si>
  <si>
    <t>SPURENERGYPARTNERSLLC9655KATYFREEWAYHOUSTON</t>
  </si>
  <si>
    <t>STEPHENS&amp;JOHNSONOPCOPOBOX2249WICHITAFALLS</t>
  </si>
  <si>
    <t>STEWARDENERGYIILLC2600NDALLASPKWYFRISCO</t>
  </si>
  <si>
    <t>STRATAPRODUCTIONCOPOBOX1030ROSWELL</t>
  </si>
  <si>
    <t>SUNDOWNENERGYLP16400DALLASPKWYSTE100DALLAS</t>
  </si>
  <si>
    <t>SUNLIGHTEXPLORATIONINC141523RDSTREETCANYON</t>
  </si>
  <si>
    <t>SUPERIORPIPELINEPOBOX702500TULSA</t>
  </si>
  <si>
    <t>SYNERGYOPERATINGLLCPOBOX5513FARMINGTON</t>
  </si>
  <si>
    <t>TAPROCKOPERATINGLLC523PARKPOINTDRIVEGOLDEN</t>
  </si>
  <si>
    <t>TARGAMIDSTREAMSERVICESLLC6DESTADRIVEMIDLAND</t>
  </si>
  <si>
    <t>TEXONOILCOMPANYINCPOBOX51588MIDLAND</t>
  </si>
  <si>
    <t>THECOLBORNCOMPANYINCPOBOX1804EUNICE</t>
  </si>
  <si>
    <t>THREEFORKSRESOURCESLLC4080YOUNGFIELDSTREETWHEATRIDGE</t>
  </si>
  <si>
    <t>THREERIVERSOPERATINGCOMPANYLLC5301SOUTHWESTPARKWAYAUSTIN</t>
  </si>
  <si>
    <t>TITUSOIL&amp;GASPRODUCTIONLLC420THROCKMORTONSTFORTWORTH</t>
  </si>
  <si>
    <t>TRANSWESTERNPIPELINECOMPANYLLC6381NORTHMAINSTREETROSWELL</t>
  </si>
  <si>
    <t>TURNERPRODUCTIONCO1925GREENVILLEAVEDALLAS</t>
  </si>
  <si>
    <t>USENERGYDEVELOPMENTCORPORATION1521NCOOPERSTARLINGTON</t>
  </si>
  <si>
    <t>UNITEXOIL&amp;GASLLC508WWALLSTREETMIDLAND</t>
  </si>
  <si>
    <t>UNIVARSOLUTIONSUSAINC3WATERWAYSQUAREPLACETHEWOODLANDS</t>
  </si>
  <si>
    <t>VERNONEFAULCONERINCPOBOX7995TYLER</t>
  </si>
  <si>
    <t>VFPETROLEUMINCPOBOX1889MIDLAND</t>
  </si>
  <si>
    <t>VISIONENERGYGROUPLLC5600NORTHMAYAVENUEOKLAHOMACITY</t>
  </si>
  <si>
    <t>VISIONENERGYINCPOBOX2459CARLSBAD</t>
  </si>
  <si>
    <t>VITOLAMERICASCORP2925RICHMONDAVEHOUSTON</t>
  </si>
  <si>
    <t>WAGNEROILCO500COMMERCEFORTWORTH</t>
  </si>
  <si>
    <t>WALSH&amp;WATTSINC500W7THSTFORTWORTH</t>
  </si>
  <si>
    <t>WARRENAMERICANOILCOPOBOX470372TULSA</t>
  </si>
  <si>
    <t>WESPACENERGYLLC400EASTCOLLEGEBLVDROSWELL</t>
  </si>
  <si>
    <t>WESTLARGOCORP8801SYALETULSA</t>
  </si>
  <si>
    <t>WESTERNOIL&amp;MINERALSLTDPODRAWER1228FARMINGTON</t>
  </si>
  <si>
    <t>WHITEROCKOIL&amp;GASLLC5810TENNYSONPARKWAYPLANO</t>
  </si>
  <si>
    <t>WTGEXPLORATIONINC401WWADLEYAVEMIDLAND</t>
  </si>
  <si>
    <t>XTOENERGYINC22777SPRINGWOODVILLAGEPARKWAYSPRING</t>
  </si>
  <si>
    <t>YATESENERGYCORPPOBOX2323ROSWELL</t>
  </si>
  <si>
    <t>ENCANAOIL&amp;GAS(USA)INC37017THSTREETDENVER</t>
  </si>
  <si>
    <t>KIMLAROILCOMPANY824SOAVENUECKERMIT</t>
  </si>
  <si>
    <t>LAPLATAGATHERINGSYSTEMINC#8524925GREENVILLEAVEDALLAS</t>
  </si>
  <si>
    <t>SANMATEOMIDSTREAMIILLC5400LBJFREEWAYDALLAS</t>
  </si>
  <si>
    <t>STEARNSHC65BOX900CROSSROADS</t>
  </si>
  <si>
    <t>TAMARACKPETROLEUMCOINC303WWALLSTMIDLAND</t>
  </si>
  <si>
    <t>TARCOENERGYLC12403CR2300LUBBOCK</t>
  </si>
  <si>
    <t>WHITINGOILANDGASCORPORATION1700LINCOLNSTREETDENVER</t>
  </si>
  <si>
    <t>WPXENERGYPERMIANLLCONEWILLIAMSCENTERTULSA</t>
  </si>
  <si>
    <t>ZACHARYOILOPERATINGCO4971EINTERSTATE20WILLOWPARK</t>
  </si>
  <si>
    <t>ACOMAOILCORP6300RIDGLEAPLFORTWORTH</t>
  </si>
  <si>
    <t>ADVANCEENERGYPARTNERSHATMESALLC11490WESTHEIMERRDHOUSTON</t>
  </si>
  <si>
    <t>APACHECORPORATIONCENTRALREGIONPRODUCTIONOFFICE6120SOUTHYALETULSA</t>
  </si>
  <si>
    <t>ASHERENTERPRISESLTDCO11063DSOMEMORIALDRIVEPMB525TULSA</t>
  </si>
  <si>
    <t>ASPENOPERATINGCOMPANYLLC210WESTSIXTHSTREETFORTWORTH</t>
  </si>
  <si>
    <t>BARVBARBLLCPOBOX4435ROSWELL</t>
  </si>
  <si>
    <t>BKEXPLORATIONCORPPOBOX52098TULSA</t>
  </si>
  <si>
    <t>BLEDSOEPARTNER3908NPENIELBETHANY</t>
  </si>
  <si>
    <t>BRIDWELLOILCOPODRAWER1830WICHITAFALLS</t>
  </si>
  <si>
    <t>BXPOPERATINGLLCPOBOX7227DALLAS</t>
  </si>
  <si>
    <t>COFULTONPOBOX1176ARTESIA</t>
  </si>
  <si>
    <t>CAMERONOIL&amp;GASINCPOBOX1089EUNICE</t>
  </si>
  <si>
    <t>CENTENNIALRESOURCEDEVELOPMENTINC500WILLINOISSTMIDLAND</t>
  </si>
  <si>
    <t>CENTURIONENERGYTRANSPORTATION3600WESTSAMHOUSTONPKWYSOUTHHOUSTON</t>
  </si>
  <si>
    <t>CFMOILLLCPOBOX1176ARTESIA</t>
  </si>
  <si>
    <t>CHAPARRALENERGYLLC701CEDARLAKEBLVDOKLAHOMACITY</t>
  </si>
  <si>
    <t>CHESAPEAKEOPERATINGINCPOBOX18496OKLAHOMACITYOK73118</t>
  </si>
  <si>
    <t>CHEVRONMIDCONTINENTLP6301DEAUVILLEBLVDMIDLAND</t>
  </si>
  <si>
    <t>CHEVRONNORTHAMERICAEXPLORATION&amp;PRODUCTIONCO15SMITHROADMIDLAND</t>
  </si>
  <si>
    <t>COBALTOPERATINGLLCPOBOX51468MIDLAND</t>
  </si>
  <si>
    <t>COGPRODUCTIONLLCPOBOX2064MIDLAND</t>
  </si>
  <si>
    <t>COLGATEOPERATINGLLC300NORTHMARIENFELDSTREETMIDLAND</t>
  </si>
  <si>
    <t>CONTINENTALRESOURCESINCPOBOX268870OKLAHOMACITY</t>
  </si>
  <si>
    <t>COPPERRIDGERESOURCESLLCPOBOX52543MIDLAND</t>
  </si>
  <si>
    <t>COTTONDRAWMIDSTREAMLLC333WESTSHERIDANAVEOKLAHOMACITY</t>
  </si>
  <si>
    <t>CRESTWOODNEWMEXICOLLC811MAINSTREETHOUSTON</t>
  </si>
  <si>
    <t>D&amp;DOILCOMPANY120BRIDGEAVEMURFREESBORO</t>
  </si>
  <si>
    <t>DAVIDHARRINGTONOIL&amp;GASINC500WWALLSTMIDLAND</t>
  </si>
  <si>
    <t>DCPOPERATINGCOMPANYLP10DESTADRIVEMIDLAND</t>
  </si>
  <si>
    <t>DELAWAREG&amp;PLLC1722ROUTHSTREETDALLAS</t>
  </si>
  <si>
    <t>DGPENERGYLLC2323SSHEPHERDDRHOUSTON</t>
  </si>
  <si>
    <t>DJROPERATINGLLCDENVER1600NBROADWAYDENVER</t>
  </si>
  <si>
    <t>DLKBLACKRIVERMIDSTREAMLLC5400LBJFREEWAYDALLAS</t>
  </si>
  <si>
    <t>DYADPETROLEUMCOMPANY306WWALLMIDLAND</t>
  </si>
  <si>
    <t>ENLINKDELAWARECRUDEPIPELINELLC1722ROUTHSTREETDALLAS</t>
  </si>
  <si>
    <t>ENSTOROPERATINGCOMPANYLLC10375RICHMONDAVEHOUSTON</t>
  </si>
  <si>
    <t>ENTERPRISEFIELDSERVICESLLCPOBOX4324HOUSTON</t>
  </si>
  <si>
    <t>EOGRESOURCESINCMIDLANDDIVISION5509CHAMPIONSDRIVEMIDLAND</t>
  </si>
  <si>
    <t>EOGRESOURCESINCPOBOX2267MIDLAND</t>
  </si>
  <si>
    <t>EOGRESOURCESINCARTESIADIVISION105S4THSTREETARTESIA</t>
  </si>
  <si>
    <t>EOROPERATINGCOMPANY575NDAIRYASHFORDHOUSTON</t>
  </si>
  <si>
    <t>ETCTEXASPIPELINELTD8111WESTCHESTERDRDALLAS</t>
  </si>
  <si>
    <t>EXTERRANENERGYSOLUTIONSLP16666NORTHCHASEDRIVEHOUSTON</t>
  </si>
  <si>
    <t>FAIROILLTDPOBOX689TYLER</t>
  </si>
  <si>
    <t>FBSOPERATINGCOMPANYLLC8235DOUGLASAVENUEDALLAS</t>
  </si>
  <si>
    <t>FOURSTARRPRODUCTIONLLC11886GREENVILLEAVEDALLAS</t>
  </si>
  <si>
    <t>FULTONENTERPRISESPOBOX1176ARTESIA</t>
  </si>
  <si>
    <t>GENESISCRUDEOILLP500DALLASAVEHOUSTON</t>
  </si>
  <si>
    <t>HEXPOPERATINGLLC113CORPORATEDRIVEMIDLAND</t>
  </si>
  <si>
    <t>HUDSONOILCOMPANYOFTEXAS616TEXASSTREETFORTWORTH</t>
  </si>
  <si>
    <t>IACXPRODUCTIONLLC5001LBJFREEWAYDALLAS</t>
  </si>
  <si>
    <t>IMPETROOPERATINGLLC201MAINSTREETFORTWORTH</t>
  </si>
  <si>
    <t>JCLEOTHOMPSONANDJAMESCLEOTHOMPSONJRLPPOBOX12577ODESSA</t>
  </si>
  <si>
    <t>JICARILLAENERGYCOPOBOX249BLOOMFIELD</t>
  </si>
  <si>
    <t>KEYSTONEENERGYLLCPOBOX962FARMINGTON</t>
  </si>
  <si>
    <t>KIMBELLOILCOOFTEXAS777TAYLORSTREETFTWORTH</t>
  </si>
  <si>
    <t>KNOXINDUSTRIESINCPOBOX3023MIDLAND</t>
  </si>
  <si>
    <t>LEJONESOPERATINGINCPOBOX1185DUNCAN</t>
  </si>
  <si>
    <t>LANMA'SOILANDGASLLC3505WSAMHOUSTONPARKWAYSOUTHHOUSTON</t>
  </si>
  <si>
    <t>LEGENDNATURALGASIIILP777MAINSTREETFORTWORTH</t>
  </si>
  <si>
    <t>LINDENMUTH&amp;ASSOCIATESINC510HEARNSTAUSTIN</t>
  </si>
  <si>
    <t>LOGOSOPERATINGLLC2010AFTONPLACEFARMINGTON</t>
  </si>
  <si>
    <t>LUCIDENERGYDELAWARELLC3100MCKINNONSTDALLAS</t>
  </si>
  <si>
    <t>MEWENTERPRISE300SOUTHKENTUCKYROSWELL</t>
  </si>
  <si>
    <t>MAMMOTHEXPLORATIONLLC200NORTHLORAINESTREETMIDLAND</t>
  </si>
  <si>
    <t>MANZANOLLCPOBOX1737ROSWELL</t>
  </si>
  <si>
    <t>MARALOINCPOBOX832MIDLAND</t>
  </si>
  <si>
    <t>MARKWESTTORNADOGASPLANTLLC1515ARAPAHOESTREETDENVER</t>
  </si>
  <si>
    <t>MGMOIL&amp;GASCOPOBOX891MIDLAND</t>
  </si>
  <si>
    <t>MICHAELPIERCEPOBOX16555ALBUQUERQUE</t>
  </si>
  <si>
    <t>MIDLANDOPERATINGINCPOBOX52308MIDLAND</t>
  </si>
  <si>
    <t>MOBILEXPLORATIONPOBOX633MIDLAND</t>
  </si>
  <si>
    <t>MOSSPETROLEUMCO2100ROSSAVEDALLAS</t>
  </si>
  <si>
    <t>MULLOYOPERATINGINC415WWALLMIDLAND</t>
  </si>
  <si>
    <t>MWSPRODUCINGINCPOBOX100STANTON</t>
  </si>
  <si>
    <t>NATURALGASPIPELINECOOFAMERICA370VANGORDONSTREETLAKEWOOD</t>
  </si>
  <si>
    <t>NEWMEXICOGASCOMPANY(NMGC)POBOX97500ALBUQUERQUE</t>
  </si>
  <si>
    <t>NGLWATERSOLUTIONSPERMIANLLC3773CHERRYCREEKNORTHDRDENVER</t>
  </si>
  <si>
    <t>NNOGCEXPLORATIONANDPRODUCTIONLLC1625BROADWAYDENVER</t>
  </si>
  <si>
    <t>NUROCENERGYINCORPORATEDPOBOX907ANDREWS</t>
  </si>
  <si>
    <t>ORYXMIDSTREAMSERVICESLLCPOBOX51492MIDLAND</t>
  </si>
  <si>
    <t>PARRISHHDWANE&amp;RHONDAK1306S9THSTARTESIA</t>
  </si>
  <si>
    <t>PEAKCOMPRESSIONSERVICESINC4705SAMANTHALANEFARMINGTON</t>
  </si>
  <si>
    <t>PETROLEUMEXPLORATIONCOMPANYLTDLIMITEDPPOBOX548BRECKENRIDGE</t>
  </si>
  <si>
    <t>PHILLIPS66PIPELINELLC905SFILLMORESTAMARILLO</t>
  </si>
  <si>
    <t>PHOENIXHYDROCARBONSOPERATINGCORPPOBOX3638MIDLAND</t>
  </si>
  <si>
    <t>PIERCEPRODUCTIONCOMPANYLLCPOBOX1969EUNICE</t>
  </si>
  <si>
    <t>PNLOPERATINGLLCPOBOX831CASPER</t>
  </si>
  <si>
    <t>PROVIDENCEENERGYSERVSINCKELTONOPCORP2408NWMUSTANGDRANDREWS</t>
  </si>
  <si>
    <t>REGINAOIL&amp;GASLLCPOBOX331REGINA</t>
  </si>
  <si>
    <t>REMNANTOILOPERATINGLLCPOBOX5375MIDLAND</t>
  </si>
  <si>
    <t>RIDGERUNNERRESOURCESOPERATINGLLC1004NBIGSPRINGSTREETMIDLAND</t>
  </si>
  <si>
    <t>RISINGSTARENERGY3710RAWLINSSTDALLAS</t>
  </si>
  <si>
    <t>ROCAOPERATINGINCPOBOX1981MIDLAND</t>
  </si>
  <si>
    <t>RODDYPRODUCTIONCOINCPOBOX168FARMINGTON</t>
  </si>
  <si>
    <t>SABAENERGY3000WILCRESTHOUSTON</t>
  </si>
  <si>
    <t>SABREOPINCPOBOX4848WICHITAFALLS</t>
  </si>
  <si>
    <t>SALTCREEKMIDSTREAMLLC6DESTADRIVEMIDLAND</t>
  </si>
  <si>
    <t>SANDLOTTENERGY(JACKIEBREWERDBA)POBOX711LOVINGTON</t>
  </si>
  <si>
    <t>SANTOPETROLEUMLLCPOBOX1020ARTESIA</t>
  </si>
  <si>
    <t>SCHALKDEVELOPMENTCOPOBOX25825ALBUQUERQUE</t>
  </si>
  <si>
    <t>SCYTHIANLTD300NMARIENFELDMIDLAND</t>
  </si>
  <si>
    <t>SHACKELFORDOILCOPOBOX10665MIDLAND</t>
  </si>
  <si>
    <t>SPCRESOURCESLLCPOBOX1020ARTESIA</t>
  </si>
  <si>
    <t>SUMMITMIDSTREAMPERMIANLLCCARLSBAD99918THSTREETDENVER</t>
  </si>
  <si>
    <t>SUMMITMIDSTREAMPERMIANLLCHOUSTON1790HUGHESLANDINGBLVDTHEWOODLANDS</t>
  </si>
  <si>
    <t>SUMMITMIDSTREAMPERMIANLLCHOUSTON910LOUISIANASTREETHOUSTON</t>
  </si>
  <si>
    <t>SUMMITRESOURCESMANAGEMENTLLCPOBOX6092EDMOND</t>
  </si>
  <si>
    <t>TAMAROAOPERATINGLLCPOBOX866937PLANO</t>
  </si>
  <si>
    <t>TANDEMENERGYCORPORATION5065WESTHEIMERRDHOUSTON</t>
  </si>
  <si>
    <t>TASCOSAENERGYPARTNERSLLC901WMISSOURIAVEMIDLAND</t>
  </si>
  <si>
    <t>TEXACOEXPLORATION&amp;PRODUCTIONINC15SMITHROADMIDLAND</t>
  </si>
  <si>
    <t>TEXLANDPETROLEUMHOBBSLLC777MAINSTREETFORTWORTH</t>
  </si>
  <si>
    <t>TRANSCOLORADOGASCO370VANGORDONSTREETLAKEWOOD</t>
  </si>
  <si>
    <t>TREKOPERATINGLLCPOBOX52098TULSA</t>
  </si>
  <si>
    <t>TRILOGYOPERATINGINCPOBOX7606MIDLAND</t>
  </si>
  <si>
    <t>UNIONOILCO3300NBUTLERAVEFARMINGTON</t>
  </si>
  <si>
    <t>USACOMPRESSIONINCFARMINGTON3300NBUTLERFARMINGTON</t>
  </si>
  <si>
    <t>VALERUSCOMPRESSIONSERVICESLP919MILANHOUSTON</t>
  </si>
  <si>
    <t>VINTAGEDRILLINGLLCPOBOX248ARTESIA</t>
  </si>
  <si>
    <t>WAMONCRIEFJR950COMMERCEFORTWORTH</t>
  </si>
  <si>
    <t>WBHAMILTONESTATE9008THSTWICHITAFALLS</t>
  </si>
  <si>
    <t>WAPITIOPERATINGLLC1310WSAMHOUSTONPKWYNORTHHOUSTON</t>
  </si>
  <si>
    <t>WESTERNREFININGPIPELINELLC200EASTHARDINSTREETFINDLAY</t>
  </si>
  <si>
    <t>WESTERNREFININGSOUTHWESTINCBLOOMFIELDPRODUCTSTERMINAL111COUNTYRD4990BLOOMFIELD</t>
  </si>
  <si>
    <t>WORKINGPARTNERSINCPOBOX55809JACKSON</t>
  </si>
  <si>
    <t>ZIMMERMANOIL&amp;GASEXPLORATIONINC2009SOUTHMAINSTREETLOVINGTON</t>
  </si>
  <si>
    <t>801LLCPOBOX900ARTESIA</t>
  </si>
  <si>
    <t>ADVANCEDWIRELESSCOMMUNICATIONSLLC5500RAILRDFARMINGTON</t>
  </si>
  <si>
    <t>AMERICANGATHERINGPOBOX90AMARILLO</t>
  </si>
  <si>
    <t>ANDERSONOILLTDLLPPOBOX420FARMINGTON</t>
  </si>
  <si>
    <t>ARENARESOURCESINC315SOUTHLEECHHOBBS</t>
  </si>
  <si>
    <t>B2JLLCPOBOX52LOVINGTON</t>
  </si>
  <si>
    <t>BARRYDLEEDBABARRYLEEINVESTMENTSHC65BOX222CROSSROADS</t>
  </si>
  <si>
    <t>BILLLMILLERPOBOX3396EVERGREEN</t>
  </si>
  <si>
    <t>BLACKHAWKENERGYCORPORATION2351SHOLLYPLACEDENVER</t>
  </si>
  <si>
    <t>BLACKBEARDOPERATINGLLC1751RIVERRUNFORTWORTH</t>
  </si>
  <si>
    <t>BOBBYMCKAYDBA5AOILCOMPANY1008WESTBROADWAYHOBBS</t>
  </si>
  <si>
    <t>BOGEINC5109CR7640LUBBOCK</t>
  </si>
  <si>
    <t>BONNEVILLEFUELSCORPORATION155INVERNESSDRWESTENGLEWOOD</t>
  </si>
  <si>
    <t>BPAMERICAPRODUCTIONCOMPANY1950NSTEMMONSFRWYSUITE5010DALLAS</t>
  </si>
  <si>
    <t>BPAMERICAPRODUCTIONCOMPANY1199MAINAVENUEDURANGO</t>
  </si>
  <si>
    <t>BRIDGECREEKRESOURCES(COLORADO)LLC8100SOUTHPARKWAYLITTLETON</t>
  </si>
  <si>
    <t>BURLINGTONRESOURCESOIL&amp;GASPOBOX4289FARMINGTON</t>
  </si>
  <si>
    <t>CANOPETROOFNEWMEXICOINC801CHERRYSTREETFORTWORTH</t>
  </si>
  <si>
    <t>CHRISTMASLLCPOBOX718EUNICE</t>
  </si>
  <si>
    <t>COULTHURSTMGT&amp;INVINC1990MARINAVEBERKELEY</t>
  </si>
  <si>
    <t>CROSSBORDERRESOURCESINC14282GILLISROADFARMERSBRANCH</t>
  </si>
  <si>
    <t>DWROILPROPERTIESINCPOBOX657MERKEL</t>
  </si>
  <si>
    <t>DAVIDRHINSONPOBOX3887FARMINGTON</t>
  </si>
  <si>
    <t>DELAWAREBASINMIDSTREAMLLC109918THSTREETDENVER</t>
  </si>
  <si>
    <t>DIAMONDINTHEROUGHLLC1406SPRUCELANEARTESIA</t>
  </si>
  <si>
    <t>DKDLLC718WESTBROADWAYTATUM</t>
  </si>
  <si>
    <t>DRIFTWOODOILLLC1008WESTBROADWAYHOBBS</t>
  </si>
  <si>
    <t>ELMRIDGEEXPLORATIONCOPOBOX156BLOOMFIELD</t>
  </si>
  <si>
    <t>ENERGEXLLC442598THLUBBOCK</t>
  </si>
  <si>
    <t>EVERGREENRESOURCES128STRYONSTCHARLOTTE</t>
  </si>
  <si>
    <t>FAITHTRADINGLLCPOBOX2140LOVINGTON</t>
  </si>
  <si>
    <t>FINNEYOILCOMPANYPOBOX1569ARTESIA</t>
  </si>
  <si>
    <t>FLUIDCOMPRESSORPARTNERSPOBOX2770FARMINGTON</t>
  </si>
  <si>
    <t>FREEDOMENERGYLLCR649N13THSTREETLAKEARTHUR</t>
  </si>
  <si>
    <t>FRONTIERFIELDSERVICESLLC10077GROGANSMILLRDTHEWOODLANDS</t>
  </si>
  <si>
    <t>GLOBALCOMPRESSORSERVICES5800SKELLYDRTULSA</t>
  </si>
  <si>
    <t>HARVESTFOURCORNERSLLC1755ARROYODRBLOOMFIELD</t>
  </si>
  <si>
    <t>HILCORPENERGYCOMPANY382CR3100AZTEC</t>
  </si>
  <si>
    <t>JBMARTINEZ5006SANDALWOODDRFARMINGTON</t>
  </si>
  <si>
    <t>JILPETCOINC5700WPLANOPKWYPLANO</t>
  </si>
  <si>
    <t>KEMVENTURESLP22136WESTHEIMERPKWYKATY</t>
  </si>
  <si>
    <t>KOCHEXPLORATIONCOMPANYLLC9777MOUNTPYRAMIDCOURTENGLEWOOD</t>
  </si>
  <si>
    <t>LAWRENCEWRITTER468NCAMDONDRIVEBEVERLYHILLS</t>
  </si>
  <si>
    <t>LG&amp;SOILCOMPANYLLCPOBOX1081LOVINGTON</t>
  </si>
  <si>
    <t>LLJVENTURESLLCDBAMARKEROIL&amp;GASPOBOX3188ROSWELL</t>
  </si>
  <si>
    <t>LONGFELLOWENERGYLP8115PRESTONROADDALLAS</t>
  </si>
  <si>
    <t>LUCIDARTESIACOMPANYPOBOX158ARTESIA</t>
  </si>
  <si>
    <t>M&amp;MENERGYLLC1008APROSPECTSTREETELPASO</t>
  </si>
  <si>
    <t>M&amp;MOILLLC1902WESTHERMOSADRARTESIA</t>
  </si>
  <si>
    <t>MATADORPRODUCTIONCOMPANYONELINCOLNCENTRE5400LBJFREEWAYDALLAS</t>
  </si>
  <si>
    <t>MCCASLANDMANAGEMENTINC1008WBROADWAYHOBBS</t>
  </si>
  <si>
    <t>MIDCONCOMPRESSIONLLC300NBROADWAYJOSHUA</t>
  </si>
  <si>
    <t>MWPETROLEUMCORP304NBEHRENDFARMINGTON</t>
  </si>
  <si>
    <t>NATURALGASSERVICESGROUP2911SCOUNTYROAD1260MIDLAND</t>
  </si>
  <si>
    <t>NEARBURGPRODUCINGCOMPANY1819NTURNERHOBBS</t>
  </si>
  <si>
    <t>NORDSTRANDENGINEERINGINC905KIRBYDRIVEHOUSTON</t>
  </si>
  <si>
    <t>PERMEXPETROLEUMCOMPANYLLC5715WILLOWWOODLNDALLAS</t>
  </si>
  <si>
    <t>PHILLIPSPETROLEUMCO5525HWY64FARMINGTON</t>
  </si>
  <si>
    <t>PITTSENERGYCO600NMARIENFIELD#101MIDLAND</t>
  </si>
  <si>
    <t>PLAINSMARKETINGLP10DESTADRIVEMIDLAND</t>
  </si>
  <si>
    <t>RANGELANDNMLLC71POTASHMINERDLOVING</t>
  </si>
  <si>
    <t>RANGER40PETROLEUMLLC244FM306NEWBRAUNFELS</t>
  </si>
  <si>
    <t>RAYAPIERCEPOBOX1969EUNICE</t>
  </si>
  <si>
    <t>RICEOILCOPOBOX1486HOBBS</t>
  </si>
  <si>
    <t>RIDGEWAYARIZONAOILCORP575NDAIRYASHFORDHOUSTON</t>
  </si>
  <si>
    <t>ROGERSLAYTONDBAESCUDILLAOILCOMPANYPOBOX687ROSWELL</t>
  </si>
  <si>
    <t>SAGEBRUSHOILINC409SLEADSTDEMING</t>
  </si>
  <si>
    <t>SANJUANRESOURCESINCPOBOX159BLOOMFIELD</t>
  </si>
  <si>
    <t>SOUTHTEXTREATERS8180LAKEVIEWCENTERODESSA</t>
  </si>
  <si>
    <t>STATELINEGATHERINGLLC100117THSTDENVER</t>
  </si>
  <si>
    <t>STEVENSONOILCOMPANYINC1709N9THLOVINGTON</t>
  </si>
  <si>
    <t>TAYLORTRANSFERSERVICESLLCPOBOX871149MESQUITE</t>
  </si>
  <si>
    <t>TIMBERLINEOIL&amp;GASLLC3621SIXSHOOTERRDLOVINGTON</t>
  </si>
  <si>
    <t>TWINSTARSCOMPRESSIONLLCPOBOX1339BLOOMFIELD</t>
  </si>
  <si>
    <t>UPLANDPRODUCTIONCOMPANYPOBOX1327EDMOND</t>
  </si>
  <si>
    <t>VERSADOGASPROCESSORSLLC6DESTADRIVEMIDLAND</t>
  </si>
  <si>
    <t>WESTERNREFININGCONANGATHERINGLLC1703COMMERCEDRIVECARLSBAD</t>
  </si>
  <si>
    <t>WILLIAMSPRODUCTIONCOMPANYLLCPOBOX640AZTEC</t>
  </si>
  <si>
    <t>YARBROUGHOILLP1008WESTBROADWAYHOBBS</t>
  </si>
  <si>
    <t>3KNIGHTSOPERATINGLLC16609CR1930LUBBOCK</t>
  </si>
  <si>
    <t>ABOEMPIRELLCPOBOX900ARTESIA</t>
  </si>
  <si>
    <t>ADDINGTONLLC1405SADAMSARTESIA</t>
  </si>
  <si>
    <t>BC&amp;DOPERATINGINC1008WESTBROADWAYHOBBS</t>
  </si>
  <si>
    <t>BIYAOPERATORSINCPOBOX370LITTLETON</t>
  </si>
  <si>
    <t>BLACKWELLOPERATINGLLCPOBOX202ANDREWS</t>
  </si>
  <si>
    <t>BLUERUBYOPERATINGLLC7201EASTCR112MIDLAND</t>
  </si>
  <si>
    <t>BRADLEYMCINROEDBABIGALOIL&amp;GASPOBOX669LEVELLAND</t>
  </si>
  <si>
    <t>CONOCOPHILLIPSMIDLANDOFFICE3300NORTHASTREETHOUSTON</t>
  </si>
  <si>
    <t>CRAFTOPERATINGNMLLC5726WINSOMELANEHOUSTON</t>
  </si>
  <si>
    <t>DWIGHTATIPTON1008WESTBROADWAYHOBBS</t>
  </si>
  <si>
    <t>EPICENERGYLLC7415EMAINSTFARMINGTON</t>
  </si>
  <si>
    <t>FAEIIOPERATINGLLC11757KATYFREEWAYHOUSTON</t>
  </si>
  <si>
    <t>FOURCORNERSEXPLORATIONCOPOBOX1469FARMINGTON</t>
  </si>
  <si>
    <t>GEORGEACHASEJRDBAGANDCSERVICEPOBOX1618ARTESIA</t>
  </si>
  <si>
    <t>GERALDFROACHPOBOX1176ARTESIA</t>
  </si>
  <si>
    <t>GVCVENTURESPOBOX59MINEOLA</t>
  </si>
  <si>
    <t>HKKEESEEANDCJKEESEETRUSTPOBOX420FARMINGTON</t>
  </si>
  <si>
    <t>JACKDKNOX3878OAKLAWNDALLAS</t>
  </si>
  <si>
    <t>JACKJGRYNBERG5299DTCBLVDGREENWWODVILLAGE</t>
  </si>
  <si>
    <t>JOHNESCHALKPOBOX25825ALBUQUERQUE</t>
  </si>
  <si>
    <t>JOHNEMCCOOLPOBOX202YOUNGSVILLE</t>
  </si>
  <si>
    <t>JRCONEOPERATINGLLCPOBOX10217LUBBOCK</t>
  </si>
  <si>
    <t>KASHOPERATINGLLCPOBOX62784SANANGELO</t>
  </si>
  <si>
    <t>KERRMCGEEOIL&amp;GASONSHORELLCSUBSIDIARYOFANADARKO306WWALLSTMIDLAND</t>
  </si>
  <si>
    <t>LEEMCRANE125SOUTHPOLLARDAZTEC</t>
  </si>
  <si>
    <t>LONGWOODRBPIPLINELLC5400LBJFREEWAYDALLAS</t>
  </si>
  <si>
    <t>MRSCHALKPOBOX25825ALBUQUERQUE</t>
  </si>
  <si>
    <t>MAXDWEBBPOBOX190FARMINGTON</t>
  </si>
  <si>
    <t>MCIOPERATINGOFNMLLC107MAINSTREETSEALY</t>
  </si>
  <si>
    <t>MORGANOPERATINGINC1008WESTBROADWAYHOBBS</t>
  </si>
  <si>
    <t>NM&amp;OOPERATINGCO320SBOSTONTULSA</t>
  </si>
  <si>
    <t>NUEVIDARESOURCESLLC5950CEDARSPRINGSROADDALLAS</t>
  </si>
  <si>
    <t>ONSHOREROYALTIESLLCPOBOX2326VICTORIA</t>
  </si>
  <si>
    <t>ORBRIELUMAN1352PAGEWOODAVEODESSA</t>
  </si>
  <si>
    <t>PECOSRIVEROPINCPOBOX1755ROSWELL</t>
  </si>
  <si>
    <t>PLAINSRADIOPETCO3317ANDREWSHWYMIDLAND</t>
  </si>
  <si>
    <t>QUATROOSOSE&amp;PLLC1742CALLELAPLACITALINCOLN</t>
  </si>
  <si>
    <t>SAMUELDALEHUGHESDBAHUGHESDRILLINGCO2409WCENTREARTESIA</t>
  </si>
  <si>
    <t>SELLERS&amp;FULTONOILLLC422WMAINSUITE5ARTESIA</t>
  </si>
  <si>
    <t>STANDARDSILVERCORP314WOODCRESTDRRICHARDSON</t>
  </si>
  <si>
    <t>STEVENDRUPPERTPOBOX550TESUQUE</t>
  </si>
  <si>
    <t>SUNSET2018LLC3108NSUNSETAVEFARMINGTON</t>
  </si>
  <si>
    <t>TACITUSLLC17707006THAVESWCALGARYALBERTA</t>
  </si>
  <si>
    <t>THOMASANDRUBYPARKINSONTRUST4634NEWMEXICORD206MILNESAND</t>
  </si>
  <si>
    <t>TORAOIL&amp;GASLLCPOBOX1267JAL</t>
  </si>
  <si>
    <t>TROJANPIPELINELP5GREENWAYPLAZAHOUSTON</t>
  </si>
  <si>
    <t>USACOMPRESSIONINCMIDLAND4415NORTHCRESTMIDLAND</t>
  </si>
  <si>
    <t>WESTERNGLOBALOILDBAWESTERNGLOBALOILINCPOBOX66MOORPARK</t>
  </si>
  <si>
    <t>WILLIAMJSWEATTTRUSTB512WTEXASAVEARTESIA</t>
  </si>
  <si>
    <t>XTOPERMIANOPERATINGLLC6401HOLIDAYHILLROADMIDLAND</t>
  </si>
  <si>
    <t>MACKENERGYCORPPOBOX960ARTESIA</t>
  </si>
  <si>
    <t>MEWBOURNEOILCOPOBOX5270HOBBS</t>
  </si>
  <si>
    <t>OCCIDENTALPERMIANLTD5GREENWAYPLAZAHOUSTON</t>
  </si>
  <si>
    <t>SMCOIL&amp;GASINCPOBOX50907MIDLAND</t>
  </si>
  <si>
    <t>AMEREDEVOPERATINGLLC2901VIAFORTUNAAUSTIN</t>
  </si>
  <si>
    <t>DJROPERATINGLLC1ROAD3263AZTEC</t>
  </si>
  <si>
    <t>ELPASOFIELDSERVICES3300NORTH"A"STREETMIDLAND</t>
  </si>
  <si>
    <t>NOVOOIL&amp;GASNORTHERNDELAWARELLC1001WESTWILSHIREBLVDOKLAHOMACITY</t>
  </si>
  <si>
    <t>WADIPETROLEUMINCC/ODEWBREPETROLEUMCORPORATION
802NCARANCAHUACORPUSCHRISTI</t>
  </si>
  <si>
    <t>LANEXCOINCDBALANEXCONEWMEXICO107MAINSTREETSEALY</t>
  </si>
  <si>
    <t>MESAOIL6394E80THAVECOMMERCECITY​</t>
  </si>
  <si>
    <t>CITATIONOIL&amp;GASCORPPOBOX690688HOUSTON</t>
  </si>
  <si>
    <t>SGINTERESTSILTDPOBOX2677DURANGO</t>
  </si>
  <si>
    <t>Advanced Wireless Communications, L.L.C.</t>
  </si>
  <si>
    <t>604 W Pinon St</t>
  </si>
  <si>
    <t>87401-5974</t>
  </si>
  <si>
    <t>THEDFORD J SPRINKLE</t>
  </si>
  <si>
    <t>Radiotelephone communication, nsk</t>
  </si>
  <si>
    <t>Radiotelephone Communication</t>
  </si>
  <si>
    <t>Cellular telephone services</t>
  </si>
  <si>
    <t>Wireless Telecommunications Carriers (except Satellite)</t>
  </si>
  <si>
    <t xml:space="preserve">Provided NAICS.COM with corrected address and they updated match. </t>
  </si>
  <si>
    <t>B2j, L.L.C.</t>
  </si>
  <si>
    <t>1501 Camino Real</t>
  </si>
  <si>
    <t>88240-1009</t>
  </si>
  <si>
    <t>DENA STRICKLAND</t>
  </si>
  <si>
    <t>Boge, Inc</t>
  </si>
  <si>
    <t>6304 County Road 7430</t>
  </si>
  <si>
    <t>79424-8422</t>
  </si>
  <si>
    <t>WHITNI BUCKLEY</t>
  </si>
  <si>
    <t>Kem Ventures, LP</t>
  </si>
  <si>
    <t>2011 Bendstone Cir</t>
  </si>
  <si>
    <t>77450-7414</t>
  </si>
  <si>
    <t>Mc Casland Management Inc</t>
  </si>
  <si>
    <t>1600 Ave O</t>
  </si>
  <si>
    <t>Irene Mc Casland</t>
  </si>
  <si>
    <t>Taylor Companies, LLC</t>
  </si>
  <si>
    <t>3819 Towne Crossing Blvd</t>
  </si>
  <si>
    <t>75150-2799</t>
  </si>
  <si>
    <t>JOE DICKERSON</t>
  </si>
  <si>
    <t>Updated 3/30/21 based on inclusion of hand verified matches from "Name Only Match" records previously excluded</t>
  </si>
  <si>
    <t>Small (with duplicate GULTs included)</t>
  </si>
  <si>
    <t>Not Small (with duplicate GULTs included)</t>
  </si>
  <si>
    <t>Operator Records</t>
  </si>
  <si>
    <t>Analysis of Wells/Production</t>
  </si>
  <si>
    <t>Non-Stripper Wells</t>
  </si>
  <si>
    <t>Stripper Wells</t>
  </si>
  <si>
    <t>--</t>
  </si>
  <si>
    <t>Average</t>
  </si>
  <si>
    <t>Original statistics with no hand matches</t>
  </si>
  <si>
    <t>1. Total Operator Records</t>
  </si>
  <si>
    <t>A. With Production/Well Data</t>
  </si>
  <si>
    <t>B. Without Production/Well Data</t>
  </si>
  <si>
    <t>i. With Revenue &amp; Employment Data</t>
  </si>
  <si>
    <t>ii. Without Revenue &amp; Employment Data</t>
  </si>
  <si>
    <t>iii. That Matched</t>
  </si>
  <si>
    <t>iv. That were Name Only Matched</t>
  </si>
  <si>
    <t>v. That Could not be Matched</t>
  </si>
  <si>
    <t>Max</t>
  </si>
  <si>
    <t>Has Production Data</t>
  </si>
  <si>
    <t>Yes/No</t>
  </si>
  <si>
    <t>Has Rev/Employment Data</t>
  </si>
  <si>
    <t>Y/N</t>
  </si>
  <si>
    <t>Small/Not Small</t>
  </si>
  <si>
    <t>YES/NO</t>
  </si>
  <si>
    <t>Match disposition</t>
  </si>
  <si>
    <t>Match/No Match, Name Only Match</t>
  </si>
  <si>
    <t>CZ</t>
  </si>
  <si>
    <t>CQ</t>
  </si>
  <si>
    <t>CV</t>
  </si>
  <si>
    <t>CP</t>
  </si>
  <si>
    <t>Has Production Data and Rev &amp; Emp Data</t>
  </si>
  <si>
    <t>Has Production Data and Rev &amp; Emp Data and are Small</t>
  </si>
  <si>
    <t>Has Production Data and Rev &amp; Emp Data and are Not Small</t>
  </si>
  <si>
    <t>Has Production Data and No Match</t>
  </si>
  <si>
    <t>=FILTER('Company Data'!$DA$2:$DD$537,INDIRECT($E$1)="Yes","No Records")</t>
  </si>
  <si>
    <t>=FILTER('Company Data'!$DA$2:$DD$537,(INDIRECT($E$1)="Yes")*(INDIRECT($E$2)="Y"),"No Records")</t>
  </si>
  <si>
    <t>=FILTER('Company Data'!$DA$2:$DD$537,(INDIRECT($E$1)="Yes")*(INDIRECT($E$3)="YES"),"No Records")</t>
  </si>
  <si>
    <t>=FILTER('Company Data'!$DA$2:$DD$537,(INDIRECT($E$1)="Yes")*(INDIRECT($E$3)="NO"),"No Records")</t>
  </si>
  <si>
    <t>=FILTER('Company Data'!$DA$2:$DD$537,(INDIRECT($E$1)="Yes")*(INDIRECT($E$4)="No Match"),"No Records")</t>
  </si>
  <si>
    <t>More</t>
  </si>
  <si>
    <t>Has Production</t>
  </si>
  <si>
    <t>Has Production and Rev&amp;Emp</t>
  </si>
  <si>
    <t>Has Production and Rev&amp;Emp and Small</t>
  </si>
  <si>
    <t>Has Production and Rev&amp;Emp and Not Small</t>
  </si>
  <si>
    <t>Has Production and No Match</t>
  </si>
  <si>
    <t>Distribution of Non-Stripper Wells</t>
  </si>
  <si>
    <t>Distribution of Stripper Wells</t>
  </si>
  <si>
    <t>Distribution of Total Gas</t>
  </si>
  <si>
    <t>Distribution of Total Oil</t>
  </si>
  <si>
    <r>
      <t>Median</t>
    </r>
    <r>
      <rPr>
        <b/>
        <vertAlign val="superscript"/>
        <sz val="11"/>
        <color theme="1"/>
        <rFont val="Calibri"/>
        <family val="2"/>
        <scheme val="minor"/>
      </rPr>
      <t>1</t>
    </r>
  </si>
  <si>
    <r>
      <t>Min</t>
    </r>
    <r>
      <rPr>
        <b/>
        <vertAlign val="superscript"/>
        <sz val="11"/>
        <color theme="1"/>
        <rFont val="Calibri"/>
        <family val="2"/>
        <scheme val="minor"/>
      </rPr>
      <t>2</t>
    </r>
  </si>
  <si>
    <r>
      <rPr>
        <vertAlign val="superscript"/>
        <sz val="11"/>
        <color theme="1"/>
        <rFont val="Calibri"/>
        <family val="2"/>
        <scheme val="minor"/>
      </rPr>
      <t>1</t>
    </r>
    <r>
      <rPr>
        <sz val="11"/>
        <color theme="1"/>
        <rFont val="Calibri"/>
        <family val="2"/>
        <scheme val="minor"/>
      </rPr>
      <t xml:space="preserve"> Median includes 0's</t>
    </r>
  </si>
  <si>
    <r>
      <rPr>
        <vertAlign val="superscript"/>
        <sz val="11"/>
        <color theme="1"/>
        <rFont val="Calibri"/>
        <family val="2"/>
        <scheme val="minor"/>
      </rPr>
      <t>2</t>
    </r>
    <r>
      <rPr>
        <sz val="11"/>
        <color theme="1"/>
        <rFont val="Calibri"/>
        <family val="2"/>
        <scheme val="minor"/>
      </rPr>
      <t xml:space="preserve"> Min represents the minimum positive value (&gt;0)</t>
    </r>
  </si>
  <si>
    <r>
      <t>a. That are small based on the SBA definition</t>
    </r>
    <r>
      <rPr>
        <vertAlign val="superscript"/>
        <sz val="11"/>
        <color theme="1"/>
        <rFont val="Calibri"/>
        <family val="2"/>
        <scheme val="minor"/>
      </rPr>
      <t>3</t>
    </r>
  </si>
  <si>
    <r>
      <t>b. That are not small based on the SBA definition</t>
    </r>
    <r>
      <rPr>
        <vertAlign val="superscript"/>
        <sz val="11"/>
        <color theme="1"/>
        <rFont val="Calibri"/>
        <family val="2"/>
        <scheme val="minor"/>
      </rPr>
      <t>3</t>
    </r>
  </si>
  <si>
    <t>https://www.eia.gov/dnav/pet/hist/LeafHandler.ashx?n=PET&amp;s=F003035__3&amp;f=M</t>
  </si>
  <si>
    <t>New Mexico Crude Oil First Purchase Price (Dollars per Barrel)</t>
  </si>
  <si>
    <t>24 Month avg (February 2019 - January 2021)</t>
  </si>
  <si>
    <t>Worksheet Name</t>
  </si>
  <si>
    <t>Description</t>
  </si>
  <si>
    <t># Of Series</t>
  </si>
  <si>
    <t>Frequency</t>
  </si>
  <si>
    <t>Latest Data for</t>
  </si>
  <si>
    <t>Data 1</t>
  </si>
  <si>
    <t>Monthly</t>
  </si>
  <si>
    <t>1/2021</t>
  </si>
  <si>
    <t>Release Date:</t>
  </si>
  <si>
    <t>4/1/2021</t>
  </si>
  <si>
    <t>Next Release Date:</t>
  </si>
  <si>
    <t>5/3/2021</t>
  </si>
  <si>
    <t>Excel File Name:</t>
  </si>
  <si>
    <t>f003035__3m.xls</t>
  </si>
  <si>
    <t>Available from Web Page:</t>
  </si>
  <si>
    <t>Source:</t>
  </si>
  <si>
    <t xml:space="preserve">  U.S. Energy Information Administration</t>
  </si>
  <si>
    <t>For Help, Contact:</t>
  </si>
  <si>
    <t>infoctr@eia.gov</t>
  </si>
  <si>
    <t>(202) 586-8800</t>
  </si>
  <si>
    <t>3/28/2021 12:34:50 AM</t>
  </si>
  <si>
    <t>3/31/2021</t>
  </si>
  <si>
    <t>Henry Hub Natural Gas Spot Price (Dollars per Million Btu)</t>
  </si>
  <si>
    <t>2/2021</t>
  </si>
  <si>
    <t>4/7/2021</t>
  </si>
  <si>
    <t>rngwhhdm.xls</t>
  </si>
  <si>
    <t>http://www.eia.gov/dnav/ng/hist/rngwhhdm.htm</t>
  </si>
  <si>
    <t>infoctr@eia.doe.gov</t>
  </si>
  <si>
    <t>3/31/2021 12:17:47 PM</t>
  </si>
  <si>
    <t>24 Month avg (March 2019 - February 2021)</t>
  </si>
  <si>
    <t>(BBLS)</t>
  </si>
  <si>
    <t>(MSCF)</t>
  </si>
  <si>
    <t>MMBTU</t>
  </si>
  <si>
    <t>BBLS</t>
  </si>
  <si>
    <t>Conversion factor for MSCF to MMBtu:</t>
  </si>
  <si>
    <t>Source: San Juan and Permian Basin 2014 Oil and Gas Emission Inventory Inputs Final Report page 43</t>
  </si>
  <si>
    <t>Total Gas (1/2019 – 6/2020)</t>
  </si>
  <si>
    <t>Total Oil (1/2019 – 6/2020)</t>
  </si>
  <si>
    <t>Total Gas Value (Annual)</t>
  </si>
  <si>
    <t>Total Oil Value (Annual)</t>
  </si>
  <si>
    <t>Total Oil and Gas Value (Annual)</t>
  </si>
  <si>
    <t>Dun &amp; Bradstreet uses data taken from public records as well as information reported directly from vendors and collection agencies. </t>
  </si>
  <si>
    <t>For records that have actual revenue figures reported, D&amp;B reports the last full fiscal year for each record.  One company’s last full fiscal year will represent a different 12 month range than another.  For records where D&amp;B doesn’t have actual sales reported, they Model the figures based on a variety of factors (industry, location, population density, amongst other proprietary variables).</t>
  </si>
  <si>
    <t>Correct Parent identified 4/8/2021 by NAICS.COM. Record updated</t>
  </si>
  <si>
    <t>EOG Resources</t>
  </si>
  <si>
    <t>1111 Bagby,Sky Lobby 2</t>
  </si>
  <si>
    <t>Oil and Gas Exploration and Production</t>
  </si>
  <si>
    <t>Located correct HQ in D&amp;B. Found Revenues but not employment in D&amp;B. Replaced GULT info in this spreadsheet.</t>
  </si>
  <si>
    <t>Total Number of Wells</t>
  </si>
  <si>
    <r>
      <rPr>
        <vertAlign val="superscript"/>
        <sz val="11"/>
        <color theme="1"/>
        <rFont val="Calibri"/>
        <family val="2"/>
        <scheme val="minor"/>
      </rPr>
      <t>3</t>
    </r>
    <r>
      <rPr>
        <sz val="11"/>
        <color theme="1"/>
        <rFont val="Calibri"/>
        <family val="2"/>
        <scheme val="minor"/>
      </rPr>
      <t xml:space="preserve"> Includes some records that may switch from small to not small and vice versa  pending further investigation</t>
    </r>
  </si>
  <si>
    <t>Avg Gas and Oil Value/Wells</t>
  </si>
  <si>
    <t>Avg Revenue/Well</t>
  </si>
  <si>
    <t>Heat content for NM field gas (gas that is sent to the interstate pipeline) =1,060 Btu/scf</t>
  </si>
  <si>
    <t>Use 24 month avg price - technical direction from Liz Kuehn, NMED</t>
  </si>
  <si>
    <t>Standard Matches are based on Company Name, Address, and Phone number and we only return results if a confidence level of 7 or higher is achieved.  Company Name Only matching is based on Company Name and Country (no address).  This method is built to prioritize the Headquarter location in cases where more than one Location matches.  This is a looser match method so matched records return with a Confidence level of 8.</t>
  </si>
  <si>
    <t>Data 1: New Mexico Crude Oil First Purchase Price (Dollars per Barrel)</t>
  </si>
  <si>
    <t>Sourcekey</t>
  </si>
  <si>
    <t>F003035__3</t>
  </si>
  <si>
    <t>Date</t>
  </si>
  <si>
    <t>24-Month Average</t>
  </si>
  <si>
    <t>Data 1: Henry Hub Natural Gas Spot Price (Dollars per Million Btu)</t>
  </si>
  <si>
    <t>RNGWHHD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</si>
</sst>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6" formatCode="&quot;$&quot;#,##0_);[Red]\(&quot;$&quot;#,##0\)"/>
    <numFmt numFmtId="44" formatCode="_(&quot;$&quot;* #,##0.00_);_(&quot;$&quot;* \(#,##0.00\);_(&quot;$&quot;* &quot;-&quot;??_);_(@_)"/>
    <numFmt numFmtId="43" formatCode="_(* #,##0.00_);_(* \(#,##0.00\);_(* &quot;-&quot;??_);_(@_)"/>
    <numFmt numFmtId="164" formatCode="&quot;$&quot;#,##0.00"/>
    <numFmt numFmtId="165" formatCode="&quot;$&quot;#,##0"/>
    <numFmt numFmtId="166" formatCode="_(* #,##0_);_(* \(#,##0\);_(* &quot;-&quot;??_);_(@_)"/>
    <numFmt numFmtId="167" formatCode="#,##0&quot; &quot;;&quot;(&quot;#,##0&quot;)&quot;"/>
    <numFmt numFmtId="168" formatCode="&quot;$&quot;#,##0.0"/>
    <numFmt numFmtId="169" formatCode="_(&quot;$&quot;* #,##0.0_);_(&quot;$&quot;* \(#,##0.0\);_(&quot;$&quot;* &quot;-&quot;??_);_(@_)"/>
    <numFmt numFmtId="170" formatCode="#,##0.0"/>
    <numFmt numFmtId="171" formatCode="0.0%"/>
    <numFmt numFmtId="172" formatCode="_(* #,##0.000_);_(* \(#,##0.000\);_(* &quot;-&quot;??_);_(@_)"/>
    <numFmt numFmtId="173" formatCode="_(* #,##0.0000_);_(* \(#,##0.0000\);_(* &quot;-&quot;??_);_(@_)"/>
    <numFmt numFmtId="174" formatCode="_(* #,##0.00000_);_(* \(#,##0.00000\);_(* &quot;-&quot;??_);_(@_)"/>
    <numFmt numFmtId="175" formatCode="mmm\-yyyy"/>
  </numFmts>
  <fonts count="85"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u/>
      <sz val="11"/>
      <color theme="1"/>
      <name val="Calibri"/>
      <family val="2"/>
      <scheme val="minor"/>
    </font>
    <font>
      <sz val="8"/>
      <name val="Calibri"/>
      <family val="2"/>
      <scheme val="minor"/>
    </font>
    <font>
      <b/>
      <u/>
      <sz val="14"/>
      <color theme="1"/>
      <name val="Calibri"/>
      <family val="2"/>
      <scheme val="minor"/>
    </font>
    <font>
      <sz val="11"/>
      <color rgb="FF0000FF"/>
      <name val="Comic Sans MS"/>
      <family val="4"/>
    </font>
    <font>
      <b/>
      <u/>
      <sz val="11"/>
      <color rgb="FF0000FF"/>
      <name val="Comic Sans MS"/>
      <family val="4"/>
    </font>
    <font>
      <u/>
      <sz val="11"/>
      <color rgb="FF0000FF"/>
      <name val="Comic Sans MS"/>
      <family val="4"/>
    </font>
    <font>
      <b/>
      <u/>
      <sz val="11"/>
      <color rgb="FF0000FF"/>
      <name val="Arial"/>
      <family val="2"/>
    </font>
    <font>
      <sz val="11"/>
      <color rgb="FF0000FF"/>
      <name val="Arial"/>
      <family val="2"/>
    </font>
    <font>
      <b/>
      <sz val="11"/>
      <color rgb="FF0000FF"/>
      <name val="Comic Sans MS"/>
      <family val="4"/>
    </font>
    <font>
      <sz val="11"/>
      <color rgb="FFFF0000"/>
      <name val="Arial"/>
      <family val="2"/>
    </font>
    <font>
      <sz val="11"/>
      <color rgb="FFFF0000"/>
      <name val="Comic Sans MS"/>
      <family val="4"/>
    </font>
    <font>
      <sz val="11"/>
      <color theme="1"/>
      <name val="Calibri"/>
      <family val="2"/>
    </font>
    <font>
      <u/>
      <sz val="11"/>
      <color theme="10"/>
      <name val="Calibri"/>
      <family val="2"/>
      <scheme val="minor"/>
    </font>
    <font>
      <sz val="11"/>
      <name val="Calibri"/>
      <family val="2"/>
      <scheme val="minor"/>
    </font>
    <font>
      <sz val="11"/>
      <color rgb="FF000000"/>
      <name val="Calibri"/>
      <family val="2"/>
    </font>
    <font>
      <sz val="11"/>
      <color rgb="FF000000"/>
      <name val="Calibri"/>
      <family val="2"/>
      <scheme val="minor"/>
    </font>
    <font>
      <b/>
      <sz val="12"/>
      <color rgb="FF000000"/>
      <name val="Calibri"/>
      <family val="2"/>
    </font>
    <font>
      <sz val="11"/>
      <color indexed="8"/>
      <name val="Calibri"/>
      <family val="2"/>
      <scheme val="minor"/>
    </font>
    <font>
      <i/>
      <sz val="11"/>
      <name val="Calibri"/>
      <family val="2"/>
      <scheme val="minor"/>
    </font>
    <font>
      <sz val="12"/>
      <color rgb="FF000000"/>
      <name val="Calibri"/>
      <family val="2"/>
    </font>
    <font>
      <u/>
      <sz val="12"/>
      <color rgb="FF0000FF"/>
      <name val="Calibri"/>
      <family val="2"/>
    </font>
    <font>
      <sz val="12"/>
      <color rgb="FF000000"/>
      <name val="Times New Roman"/>
      <family val="1"/>
    </font>
    <font>
      <sz val="11"/>
      <name val="Calibri"/>
      <family val="2"/>
    </font>
    <font>
      <vertAlign val="superscript"/>
      <sz val="11"/>
      <color indexed="8"/>
      <name val="Calibri"/>
      <family val="2"/>
    </font>
    <font>
      <vertAlign val="superscript"/>
      <sz val="11"/>
      <color rgb="FF000000"/>
      <name val="Calibri"/>
      <family val="2"/>
    </font>
    <font>
      <b/>
      <sz val="14"/>
      <color theme="1"/>
      <name val="Calibri"/>
      <family val="2"/>
      <scheme val="minor"/>
    </font>
    <font>
      <i/>
      <sz val="11"/>
      <color theme="1"/>
      <name val="Calibri"/>
      <family val="2"/>
      <scheme val="minor"/>
    </font>
    <font>
      <sz val="10"/>
      <color rgb="FF000000"/>
      <name val="Arial"/>
      <family val="2"/>
    </font>
    <font>
      <b/>
      <sz val="11"/>
      <color indexed="8"/>
      <name val="Calibri"/>
      <family val="2"/>
    </font>
    <font>
      <b/>
      <sz val="11"/>
      <name val="Calibri"/>
      <family val="2"/>
      <scheme val="minor"/>
    </font>
    <font>
      <sz val="11"/>
      <color rgb="FF373A3C"/>
      <name val="Calibri"/>
      <family val="2"/>
      <scheme val="minor"/>
    </font>
    <font>
      <sz val="11"/>
      <color indexed="8"/>
      <name val="Calibri"/>
      <family val="2"/>
    </font>
    <font>
      <sz val="11"/>
      <color rgb="FF212121"/>
      <name val="Calibri"/>
      <family val="2"/>
      <scheme val="minor"/>
    </font>
    <font>
      <sz val="11"/>
      <color rgb="FF222222"/>
      <name val="Calibri"/>
      <family val="2"/>
      <scheme val="minor"/>
    </font>
    <font>
      <sz val="11"/>
      <color rgb="FF202124"/>
      <name val="Calibri"/>
      <family val="2"/>
      <scheme val="minor"/>
    </font>
    <font>
      <sz val="11"/>
      <color rgb="FF333333"/>
      <name val="Calibri"/>
      <family val="2"/>
      <scheme val="minor"/>
    </font>
    <font>
      <sz val="9"/>
      <color indexed="81"/>
      <name val="Tahoma"/>
      <family val="2"/>
    </font>
    <font>
      <sz val="12"/>
      <name val="Calibri"/>
      <family val="2"/>
    </font>
    <font>
      <sz val="11"/>
      <color theme="0" tint="-0.499984740745262"/>
      <name val="Calibri"/>
      <family val="2"/>
      <scheme val="minor"/>
    </font>
    <font>
      <i/>
      <sz val="11"/>
      <color theme="0" tint="-0.499984740745262"/>
      <name val="Calibri"/>
      <family val="2"/>
      <scheme val="minor"/>
    </font>
    <font>
      <b/>
      <i/>
      <sz val="11"/>
      <color theme="0" tint="-0.499984740745262"/>
      <name val="Calibri"/>
      <family val="2"/>
      <scheme val="minor"/>
    </font>
    <font>
      <b/>
      <sz val="10"/>
      <color theme="1"/>
      <name val="Calibri"/>
      <family val="2"/>
      <scheme val="minor"/>
    </font>
    <font>
      <b/>
      <i/>
      <sz val="11"/>
      <color theme="1"/>
      <name val="Calibri"/>
      <family val="2"/>
      <scheme val="minor"/>
    </font>
    <font>
      <b/>
      <vertAlign val="superscript"/>
      <sz val="11"/>
      <color theme="1"/>
      <name val="Calibri"/>
      <family val="2"/>
      <scheme val="minor"/>
    </font>
    <font>
      <vertAlign val="superscript"/>
      <sz val="11"/>
      <color theme="1"/>
      <name val="Calibri"/>
      <family val="2"/>
      <scheme val="minor"/>
    </font>
    <font>
      <sz val="11"/>
      <color rgb="FF111111"/>
      <name val="Calibri"/>
      <family val="2"/>
      <scheme val="minor"/>
    </font>
    <font>
      <b/>
      <i/>
      <sz val="12"/>
      <color indexed="10"/>
      <name val="Arial"/>
      <family val="2"/>
    </font>
    <font>
      <sz val="10"/>
      <name val="Arial"/>
      <family val="2"/>
    </font>
    <font>
      <b/>
      <sz val="10"/>
      <color indexed="9"/>
      <name val="Arial"/>
      <family val="2"/>
    </font>
    <font>
      <u/>
      <sz val="10"/>
      <color indexed="12"/>
      <name val="Arial"/>
      <family val="2"/>
    </font>
    <font>
      <b/>
      <u/>
      <sz val="10"/>
      <color indexed="12"/>
      <name val="Arial"/>
      <family val="2"/>
    </font>
    <font>
      <sz val="10"/>
      <color indexed="63"/>
      <name val="Arial"/>
      <family val="2"/>
    </font>
    <font>
      <sz val="10"/>
      <color indexed="9"/>
      <name val="Arial"/>
      <family val="2"/>
    </font>
    <font>
      <b/>
      <sz val="10"/>
      <color indexed="9"/>
      <name val="Arial"/>
      <family val="2"/>
    </font>
    <font>
      <u/>
      <sz val="10"/>
      <color indexed="12"/>
      <name val="Arial"/>
      <family val="2"/>
    </font>
    <font>
      <b/>
      <u/>
      <sz val="10"/>
      <color indexed="12"/>
      <name val="Arial"/>
      <family val="2"/>
    </font>
    <font>
      <sz val="10"/>
      <color indexed="63"/>
      <name val="Arial"/>
      <family val="2"/>
    </font>
    <font>
      <sz val="10"/>
      <color indexed="9"/>
      <name val="Arial"/>
      <family val="2"/>
    </font>
    <font>
      <u/>
      <sz val="10"/>
      <color indexed="12"/>
      <name val="Arial"/>
    </font>
    <font>
      <sz val="10"/>
      <name val="Arial"/>
    </font>
    <font>
      <b/>
      <sz val="12"/>
      <color indexed="18"/>
      <name val="Arial"/>
    </font>
    <font>
      <b/>
      <sz val="9"/>
      <name val="Arial"/>
    </font>
    <font>
      <b/>
      <sz val="10"/>
      <name val="Arial"/>
    </font>
    <font>
      <b/>
      <sz val="11"/>
      <name val="Arial"/>
      <family val="2"/>
    </font>
    <font>
      <b/>
      <sz val="12"/>
      <color indexed="18"/>
      <name val="Arial"/>
      <family val="2"/>
    </font>
    <font>
      <b/>
      <sz val="9"/>
      <name val="Arial"/>
      <family val="2"/>
    </font>
    <font>
      <b/>
      <sz val="10"/>
      <name val="Arial"/>
      <family val="2"/>
    </font>
  </fonts>
  <fills count="6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59999389629810485"/>
        <bgColor indexed="64"/>
      </patternFill>
    </fill>
    <fill>
      <patternFill patternType="solid">
        <fgColor rgb="FFFFFF00"/>
        <bgColor indexed="64"/>
      </patternFill>
    </fill>
    <fill>
      <patternFill patternType="solid">
        <fgColor theme="4" tint="0.59999389629810485"/>
        <bgColor indexed="64"/>
      </patternFill>
    </fill>
    <fill>
      <patternFill patternType="solid">
        <fgColor rgb="FF92D050"/>
        <bgColor indexed="64"/>
      </patternFill>
    </fill>
    <fill>
      <patternFill patternType="solid">
        <fgColor rgb="FFFF0000"/>
        <bgColor indexed="64"/>
      </patternFill>
    </fill>
    <fill>
      <patternFill patternType="solid">
        <fgColor theme="7" tint="0.39997558519241921"/>
        <bgColor indexed="64"/>
      </patternFill>
    </fill>
    <fill>
      <patternFill patternType="solid">
        <fgColor theme="9" tint="0.39997558519241921"/>
        <bgColor indexed="64"/>
      </patternFill>
    </fill>
    <fill>
      <patternFill patternType="solid">
        <fgColor rgb="FFFD9FE9"/>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4" tint="0.39997558519241921"/>
        <bgColor indexed="64"/>
      </patternFill>
    </fill>
    <fill>
      <patternFill patternType="solid">
        <fgColor theme="7" tint="0.59999389629810485"/>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7" tint="0.79998168889431442"/>
        <bgColor indexed="0"/>
      </patternFill>
    </fill>
    <fill>
      <patternFill patternType="solid">
        <fgColor theme="2" tint="-9.9978637043366805E-2"/>
        <bgColor indexed="64"/>
      </patternFill>
    </fill>
    <fill>
      <patternFill patternType="solid">
        <fgColor theme="6" tint="0.39997558519241921"/>
        <bgColor indexed="64"/>
      </patternFill>
    </fill>
    <fill>
      <patternFill patternType="solid">
        <fgColor theme="8" tint="0.39997558519241921"/>
        <bgColor indexed="64"/>
      </patternFill>
    </fill>
    <fill>
      <patternFill patternType="solid">
        <fgColor theme="3" tint="0.39997558519241921"/>
        <bgColor indexed="64"/>
      </patternFill>
    </fill>
    <fill>
      <patternFill patternType="solid">
        <fgColor theme="0" tint="-0.249977111117893"/>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theme="5" tint="0.79998168889431442"/>
        <bgColor indexed="64"/>
      </patternFill>
    </fill>
    <fill>
      <patternFill patternType="solid">
        <fgColor indexed="18"/>
        <bgColor indexed="64"/>
      </patternFill>
    </fill>
    <fill>
      <patternFill patternType="solid">
        <fgColor indexed="26"/>
        <bgColor indexed="64"/>
      </patternFill>
    </fill>
    <fill>
      <patternFill patternType="solid">
        <fgColor theme="5" tint="0.59999389629810485"/>
        <bgColor indexed="64"/>
      </patternFill>
    </fill>
    <fill>
      <patternFill patternType="solid">
        <fgColor theme="9"/>
        <bgColor indexed="64"/>
      </patternFill>
    </fill>
  </fills>
  <borders count="3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51">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30" fillId="0" borderId="0" applyNumberFormat="0" applyFill="0" applyBorder="0" applyAlignment="0" applyProtection="0"/>
    <xf numFmtId="0" fontId="45" fillId="0" borderId="0"/>
    <xf numFmtId="0" fontId="76" fillId="0" borderId="0" applyNumberFormat="0" applyFill="0" applyBorder="0" applyAlignment="0" applyProtection="0">
      <alignment vertical="top"/>
      <protection locked="0"/>
    </xf>
    <xf numFmtId="0" fontId="77" fillId="0" borderId="0"/>
    <xf numFmtId="0" fontId="67" fillId="0" borderId="0" applyNumberFormat="0" applyFill="0" applyBorder="0" applyAlignment="0" applyProtection="0">
      <alignment vertical="top"/>
      <protection locked="0"/>
    </xf>
    <xf numFmtId="0" fontId="65" fillId="0" borderId="0"/>
  </cellStyleXfs>
  <cellXfs count="346">
    <xf numFmtId="0" fontId="0" fillId="0" borderId="0" xfId="0"/>
    <xf numFmtId="6" fontId="0" fillId="0" borderId="0" xfId="0" applyNumberFormat="1"/>
    <xf numFmtId="3" fontId="0" fillId="0" borderId="0" xfId="0" applyNumberFormat="1"/>
    <xf numFmtId="0" fontId="18" fillId="0" borderId="0" xfId="0" applyFont="1"/>
    <xf numFmtId="0" fontId="0" fillId="33" borderId="0" xfId="0" applyFill="1"/>
    <xf numFmtId="6" fontId="0" fillId="33" borderId="0" xfId="0" applyNumberFormat="1" applyFill="1"/>
    <xf numFmtId="3" fontId="0" fillId="33" borderId="0" xfId="0" applyNumberFormat="1" applyFill="1"/>
    <xf numFmtId="0" fontId="20" fillId="0" borderId="0" xfId="0" applyFont="1"/>
    <xf numFmtId="0" fontId="21" fillId="0" borderId="0" xfId="0" applyFont="1" applyAlignment="1">
      <alignment vertical="center"/>
    </xf>
    <xf numFmtId="0" fontId="22" fillId="0" borderId="0" xfId="0" applyFont="1" applyAlignment="1">
      <alignment vertical="center"/>
    </xf>
    <xf numFmtId="0" fontId="23" fillId="0" borderId="0" xfId="0" applyFont="1" applyAlignment="1">
      <alignment vertical="center"/>
    </xf>
    <xf numFmtId="0" fontId="24" fillId="0" borderId="0" xfId="0" applyFont="1" applyAlignment="1">
      <alignment vertical="center"/>
    </xf>
    <xf numFmtId="0" fontId="25" fillId="0" borderId="0" xfId="0" applyFont="1" applyAlignment="1">
      <alignment vertical="center"/>
    </xf>
    <xf numFmtId="0" fontId="26" fillId="0" borderId="0" xfId="0" applyFont="1" applyAlignment="1">
      <alignment vertical="center"/>
    </xf>
    <xf numFmtId="0" fontId="27" fillId="0" borderId="0" xfId="0" applyFont="1" applyAlignment="1">
      <alignment vertical="center"/>
    </xf>
    <xf numFmtId="0" fontId="28" fillId="0" borderId="0" xfId="0" applyFont="1" applyAlignment="1">
      <alignment vertical="center"/>
    </xf>
    <xf numFmtId="0" fontId="0" fillId="34" borderId="0" xfId="0" applyFill="1"/>
    <xf numFmtId="164" fontId="0" fillId="0" borderId="0" xfId="43" applyNumberFormat="1" applyFont="1"/>
    <xf numFmtId="166" fontId="0" fillId="0" borderId="0" xfId="42" applyNumberFormat="1" applyFont="1"/>
    <xf numFmtId="165" fontId="0" fillId="35" borderId="0" xfId="43" applyNumberFormat="1" applyFont="1" applyFill="1"/>
    <xf numFmtId="166" fontId="0" fillId="35" borderId="0" xfId="42" applyNumberFormat="1" applyFont="1" applyFill="1"/>
    <xf numFmtId="0" fontId="0" fillId="0" borderId="0" xfId="0" applyFill="1"/>
    <xf numFmtId="0" fontId="16" fillId="0" borderId="0" xfId="0" applyFont="1"/>
    <xf numFmtId="6" fontId="0" fillId="0" borderId="0" xfId="0" applyNumberFormat="1" applyFill="1"/>
    <xf numFmtId="0" fontId="0" fillId="36" borderId="0" xfId="0" applyFill="1"/>
    <xf numFmtId="6" fontId="0" fillId="36" borderId="0" xfId="0" applyNumberFormat="1" applyFill="1"/>
    <xf numFmtId="3" fontId="0" fillId="36" borderId="0" xfId="0" applyNumberFormat="1" applyFill="1"/>
    <xf numFmtId="0" fontId="0" fillId="37" borderId="0" xfId="0" applyFill="1"/>
    <xf numFmtId="0" fontId="0" fillId="0" borderId="0" xfId="0" applyAlignment="1">
      <alignment vertical="top"/>
    </xf>
    <xf numFmtId="0" fontId="0" fillId="0" borderId="0" xfId="0" applyAlignment="1"/>
    <xf numFmtId="0" fontId="0" fillId="0" borderId="0" xfId="0" applyFill="1" applyAlignment="1"/>
    <xf numFmtId="3" fontId="0" fillId="0" borderId="0" xfId="0" applyNumberFormat="1" applyFill="1"/>
    <xf numFmtId="0" fontId="31" fillId="37" borderId="0" xfId="0" applyFont="1" applyFill="1"/>
    <xf numFmtId="0" fontId="0" fillId="38" borderId="0" xfId="0" applyFill="1"/>
    <xf numFmtId="0" fontId="0" fillId="35" borderId="0" xfId="43" applyNumberFormat="1" applyFont="1" applyFill="1"/>
    <xf numFmtId="0" fontId="0" fillId="0" borderId="0" xfId="0" applyAlignment="1">
      <alignment horizontal="center"/>
    </xf>
    <xf numFmtId="0" fontId="33" fillId="0" borderId="10" xfId="0" applyFont="1" applyBorder="1" applyAlignment="1">
      <alignment horizontal="left" vertical="center"/>
    </xf>
    <xf numFmtId="0" fontId="0" fillId="0" borderId="0" xfId="0" applyAlignment="1">
      <alignment horizontal="center" vertical="center"/>
    </xf>
    <xf numFmtId="0" fontId="39" fillId="0" borderId="0" xfId="0" applyFont="1" applyAlignment="1">
      <alignment horizontal="left" vertical="center"/>
    </xf>
    <xf numFmtId="0" fontId="39" fillId="0" borderId="0" xfId="0" applyFont="1" applyAlignment="1">
      <alignment horizontal="left"/>
    </xf>
    <xf numFmtId="0" fontId="16" fillId="0" borderId="0" xfId="0" applyFont="1" applyAlignment="1">
      <alignment horizontal="center" vertical="center"/>
    </xf>
    <xf numFmtId="0" fontId="0" fillId="0" borderId="11" xfId="0" applyBorder="1"/>
    <xf numFmtId="0" fontId="0" fillId="0" borderId="11" xfId="43" applyNumberFormat="1" applyFont="1" applyFill="1" applyBorder="1" applyAlignment="1">
      <alignment vertical="top"/>
    </xf>
    <xf numFmtId="0" fontId="32" fillId="0" borderId="11" xfId="0" applyFont="1" applyBorder="1" applyAlignment="1">
      <alignment horizontal="left" vertical="top" wrapText="1"/>
    </xf>
    <xf numFmtId="167" fontId="32" fillId="0" borderId="11" xfId="42" applyNumberFormat="1" applyFont="1" applyFill="1" applyBorder="1" applyAlignment="1">
      <alignment horizontal="center" vertical="center" wrapText="1"/>
    </xf>
    <xf numFmtId="0" fontId="0" fillId="0" borderId="11" xfId="0" applyBorder="1" applyAlignment="1">
      <alignment vertical="top"/>
    </xf>
    <xf numFmtId="0" fontId="0" fillId="0" borderId="11" xfId="43" applyNumberFormat="1" applyFont="1" applyFill="1" applyBorder="1"/>
    <xf numFmtId="0" fontId="40" fillId="0" borderId="11" xfId="0" applyFont="1" applyBorder="1" applyAlignment="1">
      <alignment horizontal="left" vertical="center" wrapText="1" indent="1"/>
    </xf>
    <xf numFmtId="3" fontId="40" fillId="0" borderId="11" xfId="0" applyNumberFormat="1" applyFont="1" applyBorder="1" applyAlignment="1">
      <alignment horizontal="center" vertical="center" wrapText="1"/>
    </xf>
    <xf numFmtId="0" fontId="37" fillId="0" borderId="11" xfId="0" applyFont="1" applyBorder="1" applyAlignment="1">
      <alignment horizontal="left" indent="1"/>
    </xf>
    <xf numFmtId="0" fontId="32" fillId="0" borderId="11" xfId="0" applyFont="1" applyBorder="1" applyAlignment="1">
      <alignment horizontal="left" vertical="center" wrapText="1" indent="1"/>
    </xf>
    <xf numFmtId="0" fontId="38" fillId="0" borderId="11" xfId="45" applyFont="1" applyFill="1" applyBorder="1" applyAlignment="1">
      <alignment horizontal="left" vertical="center" indent="1"/>
    </xf>
    <xf numFmtId="0" fontId="34" fillId="38" borderId="11" xfId="0" applyFont="1" applyFill="1" applyBorder="1" applyAlignment="1">
      <alignment horizontal="center" wrapText="1"/>
    </xf>
    <xf numFmtId="165" fontId="34" fillId="38" borderId="11" xfId="0" applyNumberFormat="1" applyFont="1" applyFill="1" applyBorder="1" applyAlignment="1">
      <alignment horizontal="center" wrapText="1"/>
    </xf>
    <xf numFmtId="165" fontId="32" fillId="0" borderId="11" xfId="43" applyNumberFormat="1" applyFont="1" applyFill="1" applyBorder="1" applyAlignment="1">
      <alignment horizontal="right" vertical="center" wrapText="1"/>
    </xf>
    <xf numFmtId="165" fontId="40" fillId="0" borderId="11" xfId="0" applyNumberFormat="1" applyFont="1" applyBorder="1" applyAlignment="1">
      <alignment horizontal="right" vertical="center" wrapText="1"/>
    </xf>
    <xf numFmtId="165" fontId="32" fillId="0" borderId="11" xfId="0" applyNumberFormat="1" applyFont="1" applyBorder="1" applyAlignment="1">
      <alignment horizontal="right" vertical="center" wrapText="1"/>
    </xf>
    <xf numFmtId="165" fontId="0" fillId="0" borderId="0" xfId="0" applyNumberFormat="1"/>
    <xf numFmtId="1" fontId="34" fillId="38" borderId="11" xfId="0" applyNumberFormat="1" applyFont="1" applyFill="1" applyBorder="1" applyAlignment="1">
      <alignment horizontal="center" wrapText="1"/>
    </xf>
    <xf numFmtId="1" fontId="0" fillId="0" borderId="0" xfId="0" applyNumberFormat="1"/>
    <xf numFmtId="165" fontId="0" fillId="0" borderId="0" xfId="43" applyNumberFormat="1" applyFont="1" applyFill="1" applyAlignment="1">
      <alignment horizontal="right"/>
    </xf>
    <xf numFmtId="0" fontId="0" fillId="0" borderId="0" xfId="0" applyFill="1" applyAlignment="1">
      <alignment horizontal="center"/>
    </xf>
    <xf numFmtId="168" fontId="32" fillId="0" borderId="11" xfId="43" applyNumberFormat="1" applyFont="1" applyFill="1" applyBorder="1" applyAlignment="1">
      <alignment horizontal="right" vertical="center" wrapText="1"/>
    </xf>
    <xf numFmtId="168" fontId="40" fillId="0" borderId="11" xfId="0" applyNumberFormat="1" applyFont="1" applyBorder="1" applyAlignment="1">
      <alignment horizontal="right" vertical="center" wrapText="1"/>
    </xf>
    <xf numFmtId="168" fontId="32" fillId="0" borderId="11" xfId="0" applyNumberFormat="1" applyFont="1" applyBorder="1" applyAlignment="1">
      <alignment horizontal="right" vertical="center" wrapText="1"/>
    </xf>
    <xf numFmtId="168" fontId="40" fillId="0" borderId="11" xfId="43" applyNumberFormat="1" applyFont="1" applyFill="1" applyBorder="1" applyAlignment="1">
      <alignment horizontal="right" vertical="center" wrapText="1"/>
    </xf>
    <xf numFmtId="3" fontId="32" fillId="0" borderId="11" xfId="42" applyNumberFormat="1" applyFont="1" applyFill="1" applyBorder="1" applyAlignment="1">
      <alignment horizontal="right" vertical="center" wrapText="1"/>
    </xf>
    <xf numFmtId="3" fontId="40" fillId="0" borderId="11" xfId="0" applyNumberFormat="1" applyFont="1" applyBorder="1" applyAlignment="1">
      <alignment horizontal="right" vertical="center" wrapText="1"/>
    </xf>
    <xf numFmtId="3" fontId="40" fillId="0" borderId="11" xfId="42" applyNumberFormat="1" applyFont="1" applyFill="1" applyBorder="1" applyAlignment="1">
      <alignment horizontal="right" vertical="center" wrapText="1"/>
    </xf>
    <xf numFmtId="0" fontId="30" fillId="0" borderId="0" xfId="45"/>
    <xf numFmtId="0" fontId="43" fillId="0" borderId="0" xfId="0" applyFont="1"/>
    <xf numFmtId="0" fontId="43" fillId="33" borderId="0" xfId="0" applyFont="1" applyFill="1"/>
    <xf numFmtId="164" fontId="43" fillId="35" borderId="0" xfId="43" applyNumberFormat="1" applyFont="1" applyFill="1"/>
    <xf numFmtId="166" fontId="43" fillId="35" borderId="0" xfId="42" applyNumberFormat="1" applyFont="1" applyFill="1"/>
    <xf numFmtId="0" fontId="43" fillId="35" borderId="0" xfId="0" applyFont="1" applyFill="1"/>
    <xf numFmtId="0" fontId="16" fillId="41" borderId="0" xfId="0" applyFont="1" applyFill="1" applyAlignment="1">
      <alignment wrapText="1"/>
    </xf>
    <xf numFmtId="0" fontId="16" fillId="42" borderId="0" xfId="0" applyFont="1" applyFill="1" applyAlignment="1">
      <alignment wrapText="1"/>
    </xf>
    <xf numFmtId="0" fontId="16" fillId="33" borderId="0" xfId="0" applyFont="1" applyFill="1" applyAlignment="1">
      <alignment wrapText="1"/>
    </xf>
    <xf numFmtId="0" fontId="0" fillId="43" borderId="0" xfId="43" applyNumberFormat="1" applyFont="1" applyFill="1"/>
    <xf numFmtId="165" fontId="0" fillId="0" borderId="0" xfId="0" applyNumberFormat="1" applyAlignment="1">
      <alignment vertical="top"/>
    </xf>
    <xf numFmtId="0" fontId="0" fillId="35" borderId="0" xfId="43" applyNumberFormat="1" applyFont="1" applyFill="1" applyAlignment="1">
      <alignment horizontal="center"/>
    </xf>
    <xf numFmtId="165" fontId="0" fillId="0" borderId="11" xfId="0" applyNumberFormat="1" applyBorder="1" applyAlignment="1">
      <alignment vertical="top"/>
    </xf>
    <xf numFmtId="0" fontId="0" fillId="0" borderId="11" xfId="0" quotePrefix="1" applyBorder="1"/>
    <xf numFmtId="165" fontId="0" fillId="0" borderId="11" xfId="0" applyNumberFormat="1" applyBorder="1"/>
    <xf numFmtId="0" fontId="0" fillId="39" borderId="11" xfId="0" applyFill="1" applyBorder="1"/>
    <xf numFmtId="0" fontId="34" fillId="39" borderId="11" xfId="0" applyFont="1" applyFill="1" applyBorder="1" applyAlignment="1">
      <alignment horizontal="left" wrapText="1"/>
    </xf>
    <xf numFmtId="0" fontId="0" fillId="0" borderId="0" xfId="0" applyAlignment="1">
      <alignment horizontal="left"/>
    </xf>
    <xf numFmtId="0" fontId="44" fillId="0" borderId="0" xfId="0" applyFont="1" applyAlignment="1">
      <alignment vertical="top"/>
    </xf>
    <xf numFmtId="9" fontId="44" fillId="0" borderId="0" xfId="44" applyFont="1" applyAlignment="1">
      <alignment vertical="top"/>
    </xf>
    <xf numFmtId="0" fontId="43" fillId="44" borderId="0" xfId="0" applyFont="1" applyFill="1"/>
    <xf numFmtId="0" fontId="0" fillId="44" borderId="0" xfId="43" applyNumberFormat="1" applyFont="1" applyFill="1"/>
    <xf numFmtId="0" fontId="46" fillId="47" borderId="11" xfId="46" applyFont="1" applyFill="1" applyBorder="1" applyAlignment="1">
      <alignment horizontal="center"/>
    </xf>
    <xf numFmtId="0" fontId="29" fillId="49" borderId="0" xfId="0" applyFont="1" applyFill="1" applyAlignment="1">
      <alignment horizontal="left" vertical="top"/>
    </xf>
    <xf numFmtId="0" fontId="29" fillId="0" borderId="0" xfId="0" applyFont="1" applyAlignment="1">
      <alignment horizontal="left" vertical="top"/>
    </xf>
    <xf numFmtId="0" fontId="32" fillId="0" borderId="0" xfId="46" applyFont="1" applyAlignment="1">
      <alignment horizontal="left" vertical="top"/>
    </xf>
    <xf numFmtId="0" fontId="48" fillId="0" borderId="0" xfId="0" applyFont="1" applyAlignment="1">
      <alignment horizontal="left" vertical="top"/>
    </xf>
    <xf numFmtId="0" fontId="33" fillId="0" borderId="0" xfId="0" applyFont="1" applyAlignment="1">
      <alignment horizontal="left" vertical="top" readingOrder="1"/>
    </xf>
    <xf numFmtId="0" fontId="50" fillId="0" borderId="0" xfId="0" applyFont="1" applyAlignment="1">
      <alignment horizontal="left" vertical="top"/>
    </xf>
    <xf numFmtId="0" fontId="51" fillId="0" borderId="0" xfId="0" applyFont="1" applyAlignment="1">
      <alignment horizontal="left" vertical="top"/>
    </xf>
    <xf numFmtId="0" fontId="29" fillId="39" borderId="0" xfId="0" applyFont="1" applyFill="1" applyAlignment="1">
      <alignment horizontal="left" vertical="top"/>
    </xf>
    <xf numFmtId="0" fontId="0" fillId="0" borderId="0" xfId="0" applyAlignment="1">
      <alignment horizontal="left" vertical="top"/>
    </xf>
    <xf numFmtId="0" fontId="33" fillId="0" borderId="0" xfId="0" applyFont="1" applyAlignment="1">
      <alignment horizontal="left" vertical="top"/>
    </xf>
    <xf numFmtId="0" fontId="32" fillId="39" borderId="0" xfId="46" applyFont="1" applyFill="1" applyAlignment="1">
      <alignment horizontal="left" vertical="top"/>
    </xf>
    <xf numFmtId="0" fontId="52" fillId="0" borderId="0" xfId="0" applyFont="1" applyAlignment="1">
      <alignment horizontal="left" vertical="top"/>
    </xf>
    <xf numFmtId="0" fontId="40" fillId="49" borderId="0" xfId="0" applyFont="1" applyFill="1" applyAlignment="1">
      <alignment horizontal="left" vertical="top"/>
    </xf>
    <xf numFmtId="0" fontId="31" fillId="0" borderId="0" xfId="0" applyFont="1" applyAlignment="1">
      <alignment horizontal="left" vertical="top"/>
    </xf>
    <xf numFmtId="0" fontId="53" fillId="0" borderId="0" xfId="0" applyFont="1" applyAlignment="1">
      <alignment horizontal="left" vertical="top"/>
    </xf>
    <xf numFmtId="0" fontId="16" fillId="45" borderId="11" xfId="0" applyFont="1" applyFill="1" applyBorder="1" applyAlignment="1"/>
    <xf numFmtId="0" fontId="16" fillId="46" borderId="11" xfId="0" applyFont="1" applyFill="1" applyBorder="1" applyAlignment="1"/>
    <xf numFmtId="0" fontId="47" fillId="48" borderId="0" xfId="0" applyFont="1" applyFill="1" applyAlignment="1"/>
    <xf numFmtId="166" fontId="0" fillId="0" borderId="11" xfId="42" quotePrefix="1" applyNumberFormat="1" applyFont="1" applyBorder="1" applyAlignment="1"/>
    <xf numFmtId="0" fontId="0" fillId="0" borderId="0" xfId="0" applyAlignment="1">
      <alignment horizontal="left" vertical="top" readingOrder="1"/>
    </xf>
    <xf numFmtId="0" fontId="49" fillId="0" borderId="11" xfId="46" applyFont="1" applyBorder="1" applyAlignment="1"/>
    <xf numFmtId="0" fontId="49" fillId="50" borderId="11" xfId="46" applyFont="1" applyFill="1" applyBorder="1" applyAlignment="1"/>
    <xf numFmtId="166" fontId="0" fillId="51" borderId="11" xfId="42" quotePrefix="1" applyNumberFormat="1" applyFont="1" applyFill="1" applyBorder="1" applyAlignment="1"/>
    <xf numFmtId="166" fontId="0" fillId="0" borderId="12" xfId="42" quotePrefix="1" applyNumberFormat="1" applyFont="1" applyBorder="1" applyAlignment="1"/>
    <xf numFmtId="0" fontId="16" fillId="52" borderId="11" xfId="0" applyFont="1" applyFill="1" applyBorder="1" applyAlignment="1"/>
    <xf numFmtId="166" fontId="16" fillId="52" borderId="11" xfId="0" applyNumberFormat="1" applyFont="1" applyFill="1" applyBorder="1" applyAlignment="1"/>
    <xf numFmtId="0" fontId="47" fillId="0" borderId="0" xfId="0" applyFont="1" applyAlignment="1"/>
    <xf numFmtId="0" fontId="43" fillId="45" borderId="0" xfId="0" applyFont="1" applyFill="1"/>
    <xf numFmtId="0" fontId="43" fillId="45" borderId="0" xfId="0" applyFont="1" applyFill="1" applyAlignment="1">
      <alignment horizontal="center" wrapText="1"/>
    </xf>
    <xf numFmtId="0" fontId="16" fillId="45" borderId="0" xfId="0" applyFont="1" applyFill="1" applyAlignment="1">
      <alignment wrapText="1"/>
    </xf>
    <xf numFmtId="0" fontId="0" fillId="45" borderId="0" xfId="43" applyNumberFormat="1" applyFont="1" applyFill="1"/>
    <xf numFmtId="0" fontId="0" fillId="45" borderId="0" xfId="0" applyFill="1"/>
    <xf numFmtId="0" fontId="47" fillId="45" borderId="0" xfId="0" applyFont="1" applyFill="1" applyAlignment="1"/>
    <xf numFmtId="0" fontId="16" fillId="45" borderId="0" xfId="0" applyFont="1" applyFill="1"/>
    <xf numFmtId="166" fontId="0" fillId="0" borderId="13" xfId="42" applyNumberFormat="1" applyFont="1" applyFill="1" applyBorder="1" applyAlignment="1"/>
    <xf numFmtId="3" fontId="0" fillId="45" borderId="0" xfId="43" applyNumberFormat="1" applyFont="1" applyFill="1"/>
    <xf numFmtId="0" fontId="0" fillId="39" borderId="0" xfId="0" applyFill="1"/>
    <xf numFmtId="0" fontId="55" fillId="0" borderId="0" xfId="0" applyFont="1" applyAlignment="1">
      <alignment horizontal="left" vertical="center" wrapText="1" indent="1"/>
    </xf>
    <xf numFmtId="169" fontId="55" fillId="0" borderId="0" xfId="43" applyNumberFormat="1" applyFont="1" applyFill="1" applyAlignment="1">
      <alignment horizontal="right" vertical="center" wrapText="1" indent="2"/>
    </xf>
    <xf numFmtId="167" fontId="55" fillId="0" borderId="0" xfId="42" applyNumberFormat="1" applyFont="1" applyFill="1" applyAlignment="1">
      <alignment horizontal="right" vertical="center" wrapText="1" indent="1"/>
    </xf>
    <xf numFmtId="0" fontId="0" fillId="46" borderId="0" xfId="0" applyFill="1"/>
    <xf numFmtId="0" fontId="57" fillId="0" borderId="0" xfId="0" applyFont="1" applyAlignment="1">
      <alignment vertical="top"/>
    </xf>
    <xf numFmtId="0" fontId="58" fillId="0" borderId="0" xfId="0" applyFont="1" applyAlignment="1">
      <alignment vertical="top"/>
    </xf>
    <xf numFmtId="3" fontId="57" fillId="0" borderId="0" xfId="0" applyNumberFormat="1" applyFont="1" applyAlignment="1">
      <alignment vertical="top"/>
    </xf>
    <xf numFmtId="9" fontId="57" fillId="0" borderId="0" xfId="0" applyNumberFormat="1" applyFont="1" applyAlignment="1">
      <alignment vertical="top"/>
    </xf>
    <xf numFmtId="3" fontId="57" fillId="0" borderId="0" xfId="0" applyNumberFormat="1" applyFont="1" applyFill="1" applyAlignment="1">
      <alignment vertical="top"/>
    </xf>
    <xf numFmtId="0" fontId="16" fillId="0" borderId="11" xfId="0" applyFont="1" applyBorder="1" applyAlignment="1">
      <alignment vertical="top"/>
    </xf>
    <xf numFmtId="0" fontId="0" fillId="0" borderId="11" xfId="0" applyBorder="1" applyAlignment="1">
      <alignment vertical="top" wrapText="1"/>
    </xf>
    <xf numFmtId="3" fontId="0" fillId="0" borderId="11" xfId="0" applyNumberFormat="1" applyBorder="1" applyAlignment="1">
      <alignment vertical="top"/>
    </xf>
    <xf numFmtId="9" fontId="0" fillId="0" borderId="11" xfId="0" applyNumberFormat="1" applyBorder="1" applyAlignment="1">
      <alignment vertical="top"/>
    </xf>
    <xf numFmtId="0" fontId="0" fillId="40" borderId="11" xfId="0" applyFill="1" applyBorder="1" applyAlignment="1">
      <alignment vertical="top"/>
    </xf>
    <xf numFmtId="9" fontId="0" fillId="40" borderId="11" xfId="44" applyFont="1" applyFill="1" applyBorder="1" applyAlignment="1">
      <alignment vertical="top"/>
    </xf>
    <xf numFmtId="0" fontId="0" fillId="0" borderId="23" xfId="0" applyBorder="1" applyAlignment="1">
      <alignment vertical="top"/>
    </xf>
    <xf numFmtId="0" fontId="0" fillId="0" borderId="25" xfId="0" applyBorder="1" applyAlignment="1">
      <alignment vertical="top"/>
    </xf>
    <xf numFmtId="170" fontId="0" fillId="45" borderId="23" xfId="0" applyNumberFormat="1" applyFill="1" applyBorder="1" applyAlignment="1">
      <alignment vertical="top"/>
    </xf>
    <xf numFmtId="3" fontId="0" fillId="45" borderId="24" xfId="0" applyNumberFormat="1" applyFill="1" applyBorder="1" applyAlignment="1">
      <alignment vertical="top"/>
    </xf>
    <xf numFmtId="3" fontId="0" fillId="45" borderId="25" xfId="0" applyNumberFormat="1" applyFill="1" applyBorder="1" applyAlignment="1">
      <alignment vertical="top"/>
    </xf>
    <xf numFmtId="170" fontId="0" fillId="45" borderId="23" xfId="0" applyNumberFormat="1" applyFill="1" applyBorder="1" applyAlignment="1">
      <alignment horizontal="right" vertical="top"/>
    </xf>
    <xf numFmtId="3" fontId="0" fillId="45" borderId="24" xfId="0" applyNumberFormat="1" applyFill="1" applyBorder="1" applyAlignment="1">
      <alignment horizontal="right" vertical="top"/>
    </xf>
    <xf numFmtId="3" fontId="0" fillId="45" borderId="25" xfId="0" applyNumberFormat="1" applyFill="1" applyBorder="1" applyAlignment="1">
      <alignment horizontal="right" vertical="top"/>
    </xf>
    <xf numFmtId="3" fontId="0" fillId="45" borderId="23" xfId="0" applyNumberFormat="1" applyFill="1" applyBorder="1" applyAlignment="1">
      <alignment horizontal="right" vertical="top"/>
    </xf>
    <xf numFmtId="170" fontId="0" fillId="35" borderId="23" xfId="0" applyNumberFormat="1" applyFill="1" applyBorder="1" applyAlignment="1">
      <alignment vertical="top"/>
    </xf>
    <xf numFmtId="3" fontId="0" fillId="35" borderId="24" xfId="0" applyNumberFormat="1" applyFill="1" applyBorder="1" applyAlignment="1">
      <alignment vertical="top"/>
    </xf>
    <xf numFmtId="3" fontId="0" fillId="35" borderId="25" xfId="0" applyNumberFormat="1" applyFill="1" applyBorder="1" applyAlignment="1">
      <alignment vertical="top"/>
    </xf>
    <xf numFmtId="170" fontId="0" fillId="35" borderId="23" xfId="0" applyNumberFormat="1" applyFill="1" applyBorder="1" applyAlignment="1">
      <alignment horizontal="right" vertical="top"/>
    </xf>
    <xf numFmtId="3" fontId="0" fillId="35" borderId="24" xfId="0" applyNumberFormat="1" applyFill="1" applyBorder="1" applyAlignment="1">
      <alignment horizontal="right" vertical="top"/>
    </xf>
    <xf numFmtId="3" fontId="0" fillId="35" borderId="25" xfId="0" applyNumberFormat="1" applyFill="1" applyBorder="1" applyAlignment="1">
      <alignment horizontal="right" vertical="top"/>
    </xf>
    <xf numFmtId="3" fontId="0" fillId="35" borderId="23" xfId="0" applyNumberFormat="1" applyFill="1" applyBorder="1" applyAlignment="1">
      <alignment horizontal="right" vertical="top"/>
    </xf>
    <xf numFmtId="170" fontId="0" fillId="43" borderId="23" xfId="0" applyNumberFormat="1" applyFill="1" applyBorder="1" applyAlignment="1">
      <alignment vertical="top"/>
    </xf>
    <xf numFmtId="3" fontId="0" fillId="43" borderId="24" xfId="0" applyNumberFormat="1" applyFill="1" applyBorder="1" applyAlignment="1">
      <alignment vertical="top"/>
    </xf>
    <xf numFmtId="3" fontId="0" fillId="43" borderId="25" xfId="0" applyNumberFormat="1" applyFill="1" applyBorder="1" applyAlignment="1">
      <alignment vertical="top"/>
    </xf>
    <xf numFmtId="170" fontId="0" fillId="43" borderId="23" xfId="0" applyNumberFormat="1" applyFill="1" applyBorder="1" applyAlignment="1">
      <alignment horizontal="right" vertical="top"/>
    </xf>
    <xf numFmtId="3" fontId="0" fillId="43" borderId="24" xfId="0" applyNumberFormat="1" applyFill="1" applyBorder="1" applyAlignment="1">
      <alignment horizontal="right" vertical="top"/>
    </xf>
    <xf numFmtId="3" fontId="0" fillId="43" borderId="25" xfId="0" applyNumberFormat="1" applyFill="1" applyBorder="1" applyAlignment="1">
      <alignment horizontal="right" vertical="top"/>
    </xf>
    <xf numFmtId="3" fontId="0" fillId="43" borderId="23" xfId="0" applyNumberFormat="1" applyFill="1" applyBorder="1" applyAlignment="1">
      <alignment horizontal="right" vertical="top"/>
    </xf>
    <xf numFmtId="170" fontId="0" fillId="0" borderId="23" xfId="0" applyNumberFormat="1" applyFill="1" applyBorder="1" applyAlignment="1">
      <alignment vertical="top"/>
    </xf>
    <xf numFmtId="3" fontId="0" fillId="0" borderId="24" xfId="0" applyNumberFormat="1" applyFill="1" applyBorder="1" applyAlignment="1">
      <alignment vertical="top"/>
    </xf>
    <xf numFmtId="3" fontId="0" fillId="0" borderId="25" xfId="0" applyNumberFormat="1" applyFill="1" applyBorder="1" applyAlignment="1">
      <alignment vertical="top"/>
    </xf>
    <xf numFmtId="170" fontId="0" fillId="0" borderId="23" xfId="0" applyNumberFormat="1" applyFill="1" applyBorder="1" applyAlignment="1">
      <alignment horizontal="right" vertical="top"/>
    </xf>
    <xf numFmtId="3" fontId="0" fillId="0" borderId="24" xfId="0" applyNumberFormat="1" applyFill="1" applyBorder="1" applyAlignment="1">
      <alignment horizontal="right" vertical="top"/>
    </xf>
    <xf numFmtId="3" fontId="0" fillId="0" borderId="25" xfId="0" applyNumberFormat="1" applyFill="1" applyBorder="1" applyAlignment="1">
      <alignment horizontal="right" vertical="top"/>
    </xf>
    <xf numFmtId="3" fontId="0" fillId="0" borderId="23" xfId="0" applyNumberFormat="1" applyFill="1" applyBorder="1" applyAlignment="1">
      <alignment horizontal="right" vertical="top"/>
    </xf>
    <xf numFmtId="170" fontId="0" fillId="55" borderId="23" xfId="0" applyNumberFormat="1" applyFill="1" applyBorder="1" applyAlignment="1">
      <alignment vertical="top"/>
    </xf>
    <xf numFmtId="3" fontId="0" fillId="55" borderId="24" xfId="0" applyNumberFormat="1" applyFill="1" applyBorder="1" applyAlignment="1">
      <alignment vertical="top"/>
    </xf>
    <xf numFmtId="3" fontId="0" fillId="55" borderId="25" xfId="0" applyNumberFormat="1" applyFill="1" applyBorder="1" applyAlignment="1">
      <alignment vertical="top"/>
    </xf>
    <xf numFmtId="170" fontId="0" fillId="55" borderId="23" xfId="0" applyNumberFormat="1" applyFill="1" applyBorder="1" applyAlignment="1">
      <alignment horizontal="right" vertical="top"/>
    </xf>
    <xf numFmtId="3" fontId="0" fillId="55" borderId="24" xfId="0" applyNumberFormat="1" applyFill="1" applyBorder="1" applyAlignment="1">
      <alignment horizontal="right" vertical="top"/>
    </xf>
    <xf numFmtId="3" fontId="0" fillId="55" borderId="25" xfId="0" applyNumberFormat="1" applyFill="1" applyBorder="1" applyAlignment="1">
      <alignment horizontal="right" vertical="top"/>
    </xf>
    <xf numFmtId="3" fontId="0" fillId="55" borderId="23" xfId="0" applyNumberFormat="1" applyFill="1" applyBorder="1" applyAlignment="1">
      <alignment horizontal="right" vertical="top"/>
    </xf>
    <xf numFmtId="0" fontId="44" fillId="41" borderId="26" xfId="0" quotePrefix="1" applyFont="1" applyFill="1" applyBorder="1" applyAlignment="1">
      <alignment horizontal="right" vertical="top"/>
    </xf>
    <xf numFmtId="0" fontId="44" fillId="41" borderId="27" xfId="0" quotePrefix="1" applyFont="1" applyFill="1" applyBorder="1" applyAlignment="1">
      <alignment horizontal="right" vertical="top"/>
    </xf>
    <xf numFmtId="0" fontId="44" fillId="41" borderId="28" xfId="0" quotePrefix="1" applyFont="1" applyFill="1" applyBorder="1" applyAlignment="1">
      <alignment horizontal="right" vertical="top"/>
    </xf>
    <xf numFmtId="0" fontId="16" fillId="0" borderId="23" xfId="0" applyFont="1" applyBorder="1" applyAlignment="1">
      <alignment horizontal="center" vertical="top"/>
    </xf>
    <xf numFmtId="0" fontId="16" fillId="0" borderId="24" xfId="0" applyFont="1" applyBorder="1" applyAlignment="1">
      <alignment horizontal="center" vertical="top"/>
    </xf>
    <xf numFmtId="0" fontId="16" fillId="0" borderId="25" xfId="0" applyFont="1" applyBorder="1" applyAlignment="1">
      <alignment horizontal="center" vertical="top"/>
    </xf>
    <xf numFmtId="3" fontId="0" fillId="0" borderId="0" xfId="0" applyNumberFormat="1" applyAlignment="1">
      <alignment horizontal="left"/>
    </xf>
    <xf numFmtId="0" fontId="59" fillId="45" borderId="0" xfId="0" applyFont="1" applyFill="1" applyAlignment="1">
      <alignment wrapText="1"/>
    </xf>
    <xf numFmtId="0" fontId="0" fillId="44" borderId="0" xfId="0" applyFill="1"/>
    <xf numFmtId="171" fontId="0" fillId="0" borderId="0" xfId="44" applyNumberFormat="1" applyFont="1"/>
    <xf numFmtId="0" fontId="57" fillId="0" borderId="0" xfId="0" applyFont="1"/>
    <xf numFmtId="0" fontId="56" fillId="0" borderId="0" xfId="0" applyFont="1"/>
    <xf numFmtId="0" fontId="0" fillId="53" borderId="0" xfId="0" applyFill="1" applyAlignment="1">
      <alignment wrapText="1"/>
    </xf>
    <xf numFmtId="0" fontId="16" fillId="53" borderId="0" xfId="0" applyFont="1" applyFill="1" applyAlignment="1">
      <alignment wrapText="1"/>
    </xf>
    <xf numFmtId="0" fontId="16" fillId="54" borderId="0" xfId="0" applyFont="1" applyFill="1" applyAlignment="1">
      <alignment wrapText="1"/>
    </xf>
    <xf numFmtId="0" fontId="0" fillId="54" borderId="0" xfId="0" applyFill="1" applyAlignment="1">
      <alignment wrapText="1"/>
    </xf>
    <xf numFmtId="0" fontId="16" fillId="46" borderId="0" xfId="0" applyFont="1" applyFill="1" applyAlignment="1">
      <alignment wrapText="1"/>
    </xf>
    <xf numFmtId="0" fontId="0" fillId="46" borderId="0" xfId="0" applyFill="1" applyAlignment="1">
      <alignment wrapText="1"/>
    </xf>
    <xf numFmtId="0" fontId="0" fillId="0" borderId="0" xfId="0" applyAlignment="1">
      <alignment wrapText="1"/>
    </xf>
    <xf numFmtId="0" fontId="16" fillId="56" borderId="0" xfId="0" applyFont="1" applyFill="1" applyAlignment="1">
      <alignment wrapText="1"/>
    </xf>
    <xf numFmtId="0" fontId="0" fillId="56" borderId="0" xfId="0" applyFill="1" applyAlignment="1">
      <alignment wrapText="1"/>
    </xf>
    <xf numFmtId="0" fontId="16" fillId="0" borderId="14" xfId="0" applyFont="1" applyBorder="1"/>
    <xf numFmtId="0" fontId="0" fillId="0" borderId="15" xfId="0" applyBorder="1"/>
    <xf numFmtId="0" fontId="0" fillId="0" borderId="15" xfId="0" applyBorder="1" applyAlignment="1">
      <alignment vertical="top"/>
    </xf>
    <xf numFmtId="0" fontId="0" fillId="0" borderId="16" xfId="0" applyBorder="1" applyAlignment="1">
      <alignment vertical="top"/>
    </xf>
    <xf numFmtId="0" fontId="44" fillId="41" borderId="17" xfId="0" applyFont="1" applyFill="1" applyBorder="1" applyAlignment="1">
      <alignment horizontal="left" indent="2"/>
    </xf>
    <xf numFmtId="3" fontId="44" fillId="41" borderId="18" xfId="0" applyNumberFormat="1" applyFont="1" applyFill="1" applyBorder="1" applyAlignment="1">
      <alignment vertical="top"/>
    </xf>
    <xf numFmtId="9" fontId="44" fillId="41" borderId="18" xfId="44" applyFont="1" applyFill="1" applyBorder="1" applyAlignment="1">
      <alignment vertical="top"/>
    </xf>
    <xf numFmtId="0" fontId="44" fillId="41" borderId="19" xfId="0" applyFont="1" applyFill="1" applyBorder="1" applyAlignment="1">
      <alignment vertical="top"/>
    </xf>
    <xf numFmtId="0" fontId="16" fillId="0" borderId="24" xfId="0" applyFont="1" applyBorder="1" applyAlignment="1">
      <alignment horizontal="center"/>
    </xf>
    <xf numFmtId="0" fontId="16" fillId="0" borderId="23" xfId="0" applyFont="1" applyBorder="1"/>
    <xf numFmtId="0" fontId="0" fillId="43" borderId="23" xfId="0" applyFill="1" applyBorder="1" applyAlignment="1">
      <alignment horizontal="left" indent="2"/>
    </xf>
    <xf numFmtId="9" fontId="0" fillId="43" borderId="24" xfId="44" applyFont="1" applyFill="1" applyBorder="1" applyAlignment="1">
      <alignment vertical="top"/>
    </xf>
    <xf numFmtId="0" fontId="0" fillId="43" borderId="25" xfId="0" applyFill="1" applyBorder="1" applyAlignment="1">
      <alignment vertical="top"/>
    </xf>
    <xf numFmtId="0" fontId="0" fillId="35" borderId="23" xfId="0" applyFill="1" applyBorder="1" applyAlignment="1">
      <alignment horizontal="left" indent="4"/>
    </xf>
    <xf numFmtId="9" fontId="0" fillId="35" borderId="24" xfId="44" applyFont="1" applyFill="1" applyBorder="1" applyAlignment="1">
      <alignment vertical="top"/>
    </xf>
    <xf numFmtId="9" fontId="0" fillId="35" borderId="25" xfId="44" applyFont="1" applyFill="1" applyBorder="1" applyAlignment="1">
      <alignment vertical="top"/>
    </xf>
    <xf numFmtId="0" fontId="0" fillId="45" borderId="23" xfId="0" applyFill="1" applyBorder="1" applyAlignment="1">
      <alignment horizontal="left" indent="6"/>
    </xf>
    <xf numFmtId="9" fontId="0" fillId="45" borderId="24" xfId="44" applyFont="1" applyFill="1" applyBorder="1" applyAlignment="1">
      <alignment vertical="top"/>
    </xf>
    <xf numFmtId="0" fontId="0" fillId="45" borderId="25" xfId="0" applyFill="1" applyBorder="1" applyAlignment="1">
      <alignment vertical="top"/>
    </xf>
    <xf numFmtId="0" fontId="0" fillId="45" borderId="23" xfId="0" applyFill="1" applyBorder="1" applyAlignment="1">
      <alignment horizontal="left" vertical="top" indent="6"/>
    </xf>
    <xf numFmtId="0" fontId="0" fillId="0" borderId="23" xfId="0" applyFill="1" applyBorder="1" applyAlignment="1">
      <alignment horizontal="left" indent="4"/>
    </xf>
    <xf numFmtId="9" fontId="0" fillId="0" borderId="24" xfId="44" applyFont="1" applyFill="1" applyBorder="1" applyAlignment="1">
      <alignment vertical="top"/>
    </xf>
    <xf numFmtId="9" fontId="0" fillId="0" borderId="25" xfId="44" applyFont="1" applyFill="1" applyBorder="1" applyAlignment="1">
      <alignment vertical="top"/>
    </xf>
    <xf numFmtId="0" fontId="0" fillId="55" borderId="23" xfId="0" applyFill="1" applyBorder="1" applyAlignment="1">
      <alignment horizontal="left" indent="4"/>
    </xf>
    <xf numFmtId="9" fontId="0" fillId="55" borderId="24" xfId="44" applyFont="1" applyFill="1" applyBorder="1" applyAlignment="1">
      <alignment vertical="top"/>
    </xf>
    <xf numFmtId="9" fontId="0" fillId="55" borderId="25" xfId="44" applyFont="1" applyFill="1" applyBorder="1" applyAlignment="1">
      <alignment vertical="top"/>
    </xf>
    <xf numFmtId="0" fontId="0" fillId="0" borderId="23" xfId="0" applyFill="1" applyBorder="1" applyAlignment="1">
      <alignment horizontal="left" indent="2"/>
    </xf>
    <xf numFmtId="0" fontId="0" fillId="0" borderId="25" xfId="0" applyFill="1" applyBorder="1" applyAlignment="1">
      <alignment vertical="top"/>
    </xf>
    <xf numFmtId="0" fontId="14" fillId="0" borderId="0" xfId="0" applyFont="1" applyAlignment="1">
      <alignment vertical="top"/>
    </xf>
    <xf numFmtId="0" fontId="0" fillId="40" borderId="0" xfId="0" applyFill="1"/>
    <xf numFmtId="6" fontId="0" fillId="40" borderId="0" xfId="0" applyNumberFormat="1" applyFill="1"/>
    <xf numFmtId="165" fontId="0" fillId="40" borderId="0" xfId="43" applyNumberFormat="1" applyFont="1" applyFill="1"/>
    <xf numFmtId="166" fontId="0" fillId="40" borderId="0" xfId="42" applyNumberFormat="1" applyFont="1" applyFill="1"/>
    <xf numFmtId="0" fontId="0" fillId="40" borderId="0" xfId="43" applyNumberFormat="1" applyFont="1" applyFill="1"/>
    <xf numFmtId="0" fontId="0" fillId="40" borderId="0" xfId="43" applyNumberFormat="1" applyFont="1" applyFill="1" applyAlignment="1">
      <alignment horizontal="center"/>
    </xf>
    <xf numFmtId="0" fontId="0" fillId="40" borderId="0" xfId="0" applyFill="1" applyAlignment="1">
      <alignment horizontal="center"/>
    </xf>
    <xf numFmtId="165" fontId="0" fillId="40" borderId="0" xfId="43" applyNumberFormat="1" applyFont="1" applyFill="1" applyAlignment="1">
      <alignment horizontal="right"/>
    </xf>
    <xf numFmtId="0" fontId="0" fillId="40" borderId="0" xfId="0" applyFill="1" applyAlignment="1">
      <alignment horizontal="left"/>
    </xf>
    <xf numFmtId="3" fontId="0" fillId="40" borderId="0" xfId="43" applyNumberFormat="1" applyFont="1" applyFill="1"/>
    <xf numFmtId="170" fontId="0" fillId="0" borderId="24" xfId="0" applyNumberFormat="1" applyFill="1" applyBorder="1" applyAlignment="1">
      <alignment vertical="top"/>
    </xf>
    <xf numFmtId="170" fontId="0" fillId="0" borderId="24" xfId="0" applyNumberFormat="1" applyFill="1" applyBorder="1" applyAlignment="1">
      <alignment horizontal="right" vertical="top"/>
    </xf>
    <xf numFmtId="0" fontId="0" fillId="0" borderId="0" xfId="0" applyFont="1" applyAlignment="1">
      <alignment vertical="top"/>
    </xf>
    <xf numFmtId="3" fontId="16" fillId="0" borderId="24" xfId="0" applyNumberFormat="1" applyFont="1" applyFill="1" applyBorder="1"/>
    <xf numFmtId="9" fontId="16" fillId="0" borderId="24" xfId="44" applyFont="1" applyFill="1" applyBorder="1" applyAlignment="1">
      <alignment vertical="top"/>
    </xf>
    <xf numFmtId="0" fontId="16" fillId="0" borderId="25" xfId="0" applyFont="1" applyFill="1" applyBorder="1" applyAlignment="1">
      <alignment vertical="top"/>
    </xf>
    <xf numFmtId="170" fontId="60" fillId="0" borderId="23" xfId="0" applyNumberFormat="1" applyFont="1" applyFill="1" applyBorder="1" applyAlignment="1">
      <alignment vertical="top"/>
    </xf>
    <xf numFmtId="170" fontId="60" fillId="0" borderId="24" xfId="0" applyNumberFormat="1" applyFont="1" applyFill="1" applyBorder="1" applyAlignment="1">
      <alignment vertical="top"/>
    </xf>
    <xf numFmtId="3" fontId="60" fillId="0" borderId="24" xfId="0" applyNumberFormat="1" applyFont="1" applyFill="1" applyBorder="1" applyAlignment="1">
      <alignment vertical="top"/>
    </xf>
    <xf numFmtId="3" fontId="60" fillId="0" borderId="25" xfId="0" applyNumberFormat="1" applyFont="1" applyFill="1" applyBorder="1" applyAlignment="1">
      <alignment vertical="top"/>
    </xf>
    <xf numFmtId="170" fontId="60" fillId="0" borderId="23" xfId="0" applyNumberFormat="1" applyFont="1" applyFill="1" applyBorder="1" applyAlignment="1">
      <alignment horizontal="right" vertical="top"/>
    </xf>
    <xf numFmtId="170" fontId="60" fillId="0" borderId="24" xfId="0" applyNumberFormat="1" applyFont="1" applyFill="1" applyBorder="1" applyAlignment="1">
      <alignment horizontal="right" vertical="top"/>
    </xf>
    <xf numFmtId="3" fontId="60" fillId="0" borderId="24" xfId="0" applyNumberFormat="1" applyFont="1" applyFill="1" applyBorder="1" applyAlignment="1">
      <alignment horizontal="right" vertical="top"/>
    </xf>
    <xf numFmtId="3" fontId="60" fillId="0" borderId="25" xfId="0" applyNumberFormat="1" applyFont="1" applyFill="1" applyBorder="1" applyAlignment="1">
      <alignment horizontal="right" vertical="top"/>
    </xf>
    <xf numFmtId="3" fontId="60" fillId="0" borderId="23" xfId="0" applyNumberFormat="1" applyFont="1" applyFill="1" applyBorder="1" applyAlignment="1">
      <alignment horizontal="right" vertical="top"/>
    </xf>
    <xf numFmtId="0" fontId="0" fillId="45" borderId="0" xfId="43" applyNumberFormat="1" applyFont="1" applyFill="1" applyAlignment="1"/>
    <xf numFmtId="0" fontId="20" fillId="33" borderId="0" xfId="0" applyFont="1" applyFill="1"/>
    <xf numFmtId="165" fontId="0" fillId="0" borderId="0" xfId="0" applyNumberFormat="1" applyFill="1"/>
    <xf numFmtId="164" fontId="0" fillId="0" borderId="0" xfId="0" applyNumberFormat="1" applyFill="1"/>
    <xf numFmtId="0" fontId="63" fillId="0" borderId="0" xfId="0" applyFont="1" applyAlignment="1">
      <alignment wrapText="1"/>
    </xf>
    <xf numFmtId="0" fontId="64" fillId="0" borderId="0" xfId="0" applyFont="1" applyAlignment="1">
      <alignment horizontal="left"/>
    </xf>
    <xf numFmtId="0" fontId="65" fillId="0" borderId="0" xfId="0" applyFont="1"/>
    <xf numFmtId="0" fontId="66" fillId="57" borderId="0" xfId="0" quotePrefix="1" applyFont="1" applyFill="1" applyAlignment="1">
      <alignment horizontal="left"/>
    </xf>
    <xf numFmtId="0" fontId="66" fillId="57" borderId="0" xfId="0" applyFont="1" applyFill="1"/>
    <xf numFmtId="0" fontId="66" fillId="57" borderId="0" xfId="0" applyFont="1" applyFill="1" applyAlignment="1">
      <alignment horizontal="center"/>
    </xf>
    <xf numFmtId="0" fontId="68" fillId="58" borderId="0" xfId="45" quotePrefix="1" applyFont="1" applyFill="1" applyAlignment="1" applyProtection="1">
      <alignment horizontal="left"/>
    </xf>
    <xf numFmtId="0" fontId="65" fillId="58" borderId="0" xfId="0" applyFont="1" applyFill="1" applyAlignment="1">
      <alignment horizontal="left"/>
    </xf>
    <xf numFmtId="0" fontId="65" fillId="58" borderId="0" xfId="0" applyFont="1" applyFill="1" applyAlignment="1">
      <alignment horizontal="center"/>
    </xf>
    <xf numFmtId="0" fontId="69" fillId="0" borderId="0" xfId="0" applyFont="1"/>
    <xf numFmtId="0" fontId="67" fillId="0" borderId="0" xfId="0" applyFont="1"/>
    <xf numFmtId="0" fontId="70" fillId="0" borderId="0" xfId="0" applyFont="1"/>
    <xf numFmtId="0" fontId="65" fillId="0" borderId="0" xfId="0" applyFont="1" applyAlignment="1">
      <alignment horizontal="left"/>
    </xf>
    <xf numFmtId="0" fontId="71" fillId="57" borderId="0" xfId="0" quotePrefix="1" applyFont="1" applyFill="1" applyAlignment="1">
      <alignment horizontal="left"/>
    </xf>
    <xf numFmtId="0" fontId="71" fillId="57" borderId="0" xfId="0" applyFont="1" applyFill="1"/>
    <xf numFmtId="0" fontId="71" fillId="57" borderId="0" xfId="0" applyFont="1" applyFill="1" applyAlignment="1">
      <alignment horizontal="center"/>
    </xf>
    <xf numFmtId="0" fontId="73" fillId="58" borderId="0" xfId="45" quotePrefix="1" applyFont="1" applyFill="1" applyAlignment="1" applyProtection="1">
      <alignment horizontal="left"/>
    </xf>
    <xf numFmtId="0" fontId="74" fillId="0" borderId="0" xfId="0" applyFont="1"/>
    <xf numFmtId="0" fontId="72" fillId="0" borderId="0" xfId="0" applyFont="1"/>
    <xf numFmtId="0" fontId="0" fillId="0" borderId="0" xfId="0" applyAlignment="1">
      <alignment horizontal="left" vertical="center"/>
    </xf>
    <xf numFmtId="0" fontId="75" fillId="0" borderId="0" xfId="0" applyFont="1"/>
    <xf numFmtId="0" fontId="16" fillId="0" borderId="0" xfId="0" applyFont="1" applyAlignment="1">
      <alignment horizontal="center"/>
    </xf>
    <xf numFmtId="0" fontId="0" fillId="35" borderId="0" xfId="0" applyFill="1"/>
    <xf numFmtId="0" fontId="0" fillId="35" borderId="0" xfId="0" applyFill="1" applyAlignment="1">
      <alignment horizontal="center"/>
    </xf>
    <xf numFmtId="165" fontId="0" fillId="0" borderId="0" xfId="43" applyNumberFormat="1" applyFont="1"/>
    <xf numFmtId="0" fontId="20" fillId="52" borderId="0" xfId="0" applyFont="1" applyFill="1"/>
    <xf numFmtId="0" fontId="20" fillId="59" borderId="0" xfId="0" applyFont="1" applyFill="1"/>
    <xf numFmtId="0" fontId="20" fillId="60" borderId="0" xfId="0" applyFont="1" applyFill="1"/>
    <xf numFmtId="0" fontId="20" fillId="43" borderId="0" xfId="0" applyFont="1" applyFill="1"/>
    <xf numFmtId="6" fontId="0" fillId="37" borderId="0" xfId="0" applyNumberFormat="1" applyFill="1"/>
    <xf numFmtId="165" fontId="0" fillId="0" borderId="0" xfId="43" applyNumberFormat="1" applyFont="1" applyAlignment="1">
      <alignment vertical="top"/>
    </xf>
    <xf numFmtId="0" fontId="18" fillId="33" borderId="0" xfId="0" applyFont="1" applyFill="1" applyAlignment="1">
      <alignment vertical="top"/>
    </xf>
    <xf numFmtId="0" fontId="18" fillId="52" borderId="0" xfId="0" applyFont="1" applyFill="1" applyAlignment="1">
      <alignment vertical="top" wrapText="1"/>
    </xf>
    <xf numFmtId="0" fontId="18" fillId="59" borderId="0" xfId="0" applyFont="1" applyFill="1" applyAlignment="1">
      <alignment vertical="top" wrapText="1"/>
    </xf>
    <xf numFmtId="0" fontId="18" fillId="43" borderId="0" xfId="0" applyFont="1" applyFill="1" applyAlignment="1">
      <alignment vertical="top" wrapText="1"/>
    </xf>
    <xf numFmtId="0" fontId="18" fillId="60" borderId="0" xfId="0" applyFont="1" applyFill="1" applyAlignment="1">
      <alignment vertical="top" wrapText="1"/>
    </xf>
    <xf numFmtId="164" fontId="16" fillId="35" borderId="0" xfId="43" applyNumberFormat="1" applyFont="1" applyFill="1" applyAlignment="1">
      <alignment vertical="top" wrapText="1"/>
    </xf>
    <xf numFmtId="166" fontId="16" fillId="35" borderId="0" xfId="42" applyNumberFormat="1" applyFont="1" applyFill="1" applyAlignment="1">
      <alignment vertical="top" wrapText="1"/>
    </xf>
    <xf numFmtId="0" fontId="16" fillId="35" borderId="0" xfId="0" applyFont="1" applyFill="1" applyAlignment="1">
      <alignment vertical="top" wrapText="1"/>
    </xf>
    <xf numFmtId="0" fontId="16" fillId="0" borderId="0" xfId="0" applyFont="1" applyAlignment="1">
      <alignment vertical="top" wrapText="1"/>
    </xf>
    <xf numFmtId="0" fontId="16" fillId="40" borderId="0" xfId="0" applyFont="1" applyFill="1" applyAlignment="1">
      <alignment horizontal="center" vertical="top" wrapText="1"/>
    </xf>
    <xf numFmtId="165" fontId="16" fillId="40" borderId="0" xfId="0" applyNumberFormat="1" applyFont="1" applyFill="1" applyAlignment="1">
      <alignment horizontal="right" vertical="top" wrapText="1"/>
    </xf>
    <xf numFmtId="166" fontId="16" fillId="40" borderId="0" xfId="42" applyNumberFormat="1" applyFont="1" applyFill="1" applyAlignment="1">
      <alignment horizontal="right" vertical="top" wrapText="1"/>
    </xf>
    <xf numFmtId="0" fontId="16" fillId="40" borderId="0" xfId="0" applyFont="1" applyFill="1" applyAlignment="1">
      <alignment vertical="top" wrapText="1"/>
    </xf>
    <xf numFmtId="0" fontId="16" fillId="44" borderId="0" xfId="0" applyFont="1" applyFill="1" applyAlignment="1">
      <alignment vertical="top" wrapText="1"/>
    </xf>
    <xf numFmtId="0" fontId="16" fillId="45" borderId="0" xfId="0" applyFont="1" applyFill="1" applyAlignment="1">
      <alignment vertical="top" wrapText="1"/>
    </xf>
    <xf numFmtId="0" fontId="21" fillId="0" borderId="0" xfId="0" applyFont="1"/>
    <xf numFmtId="165" fontId="0" fillId="0" borderId="0" xfId="0" applyNumberFormat="1" applyFont="1" applyFill="1"/>
    <xf numFmtId="165" fontId="0" fillId="0" borderId="0" xfId="0" applyNumberFormat="1" applyFont="1"/>
    <xf numFmtId="0" fontId="0" fillId="0" borderId="0" xfId="0" applyFont="1" applyFill="1"/>
    <xf numFmtId="6" fontId="0" fillId="0" borderId="0" xfId="0" applyNumberFormat="1" applyFont="1" applyFill="1"/>
    <xf numFmtId="0" fontId="0" fillId="0" borderId="0" xfId="0" applyFont="1" applyFill="1" applyAlignment="1">
      <alignment horizontal="center"/>
    </xf>
    <xf numFmtId="0" fontId="0" fillId="0" borderId="0" xfId="0" applyFont="1" applyFill="1" applyAlignment="1">
      <alignment horizontal="left"/>
    </xf>
    <xf numFmtId="0" fontId="0" fillId="0" borderId="0" xfId="0" applyFill="1" applyAlignment="1">
      <alignment horizontal="left"/>
    </xf>
    <xf numFmtId="3" fontId="0" fillId="0" borderId="0" xfId="0" applyNumberFormat="1" applyAlignment="1">
      <alignment vertical="top"/>
    </xf>
    <xf numFmtId="0" fontId="20" fillId="0" borderId="0" xfId="0" applyFont="1" applyFill="1"/>
    <xf numFmtId="0" fontId="18" fillId="0" borderId="0" xfId="0" applyFont="1" applyFill="1" applyAlignment="1">
      <alignment vertical="top"/>
    </xf>
    <xf numFmtId="174" fontId="0" fillId="0" borderId="0" xfId="42" applyNumberFormat="1" applyFont="1" applyFill="1"/>
    <xf numFmtId="166" fontId="0" fillId="0" borderId="0" xfId="42" applyNumberFormat="1" applyFont="1" applyFill="1"/>
    <xf numFmtId="43" fontId="0" fillId="0" borderId="0" xfId="42" applyNumberFormat="1" applyFont="1" applyFill="1"/>
    <xf numFmtId="172" fontId="0" fillId="0" borderId="0" xfId="42" applyNumberFormat="1" applyFont="1" applyFill="1"/>
    <xf numFmtId="173" fontId="0" fillId="0" borderId="0" xfId="42" applyNumberFormat="1" applyFont="1" applyFill="1"/>
    <xf numFmtId="0" fontId="43" fillId="40" borderId="0" xfId="0" applyFont="1" applyFill="1" applyAlignment="1">
      <alignment horizontal="center" wrapText="1"/>
    </xf>
    <xf numFmtId="0" fontId="16" fillId="0" borderId="20" xfId="0" applyFont="1" applyBorder="1" applyAlignment="1">
      <alignment horizontal="center" vertical="top"/>
    </xf>
    <xf numFmtId="0" fontId="16" fillId="0" borderId="21" xfId="0" applyFont="1" applyBorder="1" applyAlignment="1">
      <alignment horizontal="center" vertical="top"/>
    </xf>
    <xf numFmtId="0" fontId="16" fillId="0" borderId="22" xfId="0" applyFont="1" applyBorder="1" applyAlignment="1">
      <alignment horizontal="center" vertical="top"/>
    </xf>
    <xf numFmtId="0" fontId="43" fillId="0" borderId="0" xfId="0" applyFont="1" applyAlignment="1">
      <alignment horizontal="center" vertical="center"/>
    </xf>
    <xf numFmtId="0" fontId="0" fillId="50" borderId="11" xfId="0" applyFill="1" applyBorder="1" applyAlignment="1">
      <alignment horizontal="left" wrapText="1"/>
    </xf>
    <xf numFmtId="0" fontId="0" fillId="0" borderId="11" xfId="0" applyBorder="1" applyAlignment="1">
      <alignment horizontal="left" wrapText="1"/>
    </xf>
    <xf numFmtId="0" fontId="0" fillId="0" borderId="29" xfId="0" applyBorder="1" applyAlignment="1">
      <alignment horizontal="center" wrapText="1"/>
    </xf>
    <xf numFmtId="0" fontId="0" fillId="0" borderId="30" xfId="0" applyBorder="1" applyAlignment="1">
      <alignment horizontal="center" wrapText="1"/>
    </xf>
    <xf numFmtId="9" fontId="0" fillId="0" borderId="0" xfId="44" applyFont="1" applyAlignment="1">
      <alignment vertical="top"/>
    </xf>
    <xf numFmtId="0" fontId="76" fillId="0" borderId="0" xfId="47" quotePrefix="1" applyAlignment="1" applyProtection="1">
      <alignment horizontal="left"/>
    </xf>
    <xf numFmtId="0" fontId="78" fillId="0" borderId="0" xfId="48" applyFont="1"/>
    <xf numFmtId="0" fontId="77" fillId="0" borderId="0" xfId="48"/>
    <xf numFmtId="0" fontId="79" fillId="0" borderId="0" xfId="48" applyFont="1" applyAlignment="1">
      <alignment horizontal="center" wrapText="1"/>
    </xf>
    <xf numFmtId="0" fontId="80" fillId="0" borderId="0" xfId="48" applyFont="1" applyAlignment="1">
      <alignment horizontal="center" wrapText="1"/>
    </xf>
    <xf numFmtId="175" fontId="77" fillId="0" borderId="0" xfId="48" applyNumberFormat="1"/>
    <xf numFmtId="0" fontId="81" fillId="53" borderId="11" xfId="48" applyFont="1" applyFill="1" applyBorder="1"/>
    <xf numFmtId="164" fontId="16" fillId="0" borderId="0" xfId="43" applyNumberFormat="1" applyFont="1"/>
    <xf numFmtId="0" fontId="67" fillId="0" borderId="0" xfId="49" quotePrefix="1" applyAlignment="1" applyProtection="1">
      <alignment horizontal="left"/>
    </xf>
    <xf numFmtId="0" fontId="82" fillId="0" borderId="0" xfId="50" applyFont="1"/>
    <xf numFmtId="0" fontId="65" fillId="0" borderId="0" xfId="50"/>
    <xf numFmtId="0" fontId="83" fillId="0" borderId="0" xfId="50" applyFont="1" applyAlignment="1">
      <alignment horizontal="center" wrapText="1"/>
    </xf>
    <xf numFmtId="0" fontId="84" fillId="0" borderId="0" xfId="50" applyFont="1" applyAlignment="1">
      <alignment horizontal="center" wrapText="1"/>
    </xf>
    <xf numFmtId="175" fontId="65" fillId="0" borderId="0" xfId="50" applyNumberFormat="1"/>
  </cellXfs>
  <cellStyles count="51">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2" builtinId="3"/>
    <cellStyle name="Currency" xfId="43" builtinId="4"/>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5" builtinId="8"/>
    <cellStyle name="Hyperlink 3" xfId="47" xr:uid="{7D742DFF-128C-448F-9423-3E01C0050B61}"/>
    <cellStyle name="Hyperlink 4" xfId="49" xr:uid="{55F5FF5B-6D15-4475-BCEC-3CCBAD27FF35}"/>
    <cellStyle name="Input" xfId="9" builtinId="20" customBuiltin="1"/>
    <cellStyle name="Linked Cell" xfId="12" builtinId="24" customBuiltin="1"/>
    <cellStyle name="Neutral" xfId="8" builtinId="28" customBuiltin="1"/>
    <cellStyle name="Normal" xfId="0" builtinId="0"/>
    <cellStyle name="Normal 3" xfId="48" xr:uid="{88857F2C-A7E4-4D70-8431-57D357B7A612}"/>
    <cellStyle name="Normal 4" xfId="50" xr:uid="{2C5D57DD-EBA5-4A36-B122-9FFD1A5D0701}"/>
    <cellStyle name="Normal_Sheet1" xfId="46" xr:uid="{4686A83D-BDCF-4E5C-8CDF-70F1C7692E55}"/>
    <cellStyle name="Note" xfId="15" builtinId="10" customBuiltin="1"/>
    <cellStyle name="Output" xfId="10" builtinId="21" customBuiltin="1"/>
    <cellStyle name="Percent" xfId="44" builtinId="5"/>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CC99FF"/>
      <color rgb="FFFD9FE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733425</xdr:colOff>
      <xdr:row>26</xdr:row>
      <xdr:rowOff>57150</xdr:rowOff>
    </xdr:from>
    <xdr:to>
      <xdr:col>1</xdr:col>
      <xdr:colOff>1924050</xdr:colOff>
      <xdr:row>27</xdr:row>
      <xdr:rowOff>142875</xdr:rowOff>
    </xdr:to>
    <xdr:pic>
      <xdr:nvPicPr>
        <xdr:cNvPr id="3" name="Picture 2">
          <a:extLst>
            <a:ext uri="{FF2B5EF4-FFF2-40B4-BE49-F238E27FC236}">
              <a16:creationId xmlns:a16="http://schemas.microsoft.com/office/drawing/2014/main" id="{911A2001-EDA4-4AB1-B234-A0D9B25902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 y="2095500"/>
          <a:ext cx="11906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Susan Day" id="{1D3B1073-06F6-49EB-907A-75F694B37638}" userId="Susan Day" providerId="None"/>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M23" dT="2021-03-19T18:57:52.99" personId="{1D3B1073-06F6-49EB-907A-75F694B37638}" id="{CAEDDC2B-6DA4-4472-9F0F-58AA37654607}">
    <text>Owned by Conoco Phillips</text>
  </threadedComment>
  <threadedComment ref="CL32" dT="2021-04-08T17:41:34.34" personId="{1D3B1073-06F6-49EB-907A-75F694B37638}" id="{4A4970FA-DC7E-4ECA-8C4D-7E76791FEEDB}">
    <text>Not correct employment for the GULT.</text>
  </threadedComment>
  <threadedComment ref="CK71" dT="2021-04-06T21:17:42.40" personId="{1D3B1073-06F6-49EB-907A-75F694B37638}" id="{73EBCB4E-1CC8-41A7-A0EF-1DFC0C990BB6}">
    <text>Replaced wtih HQ value in column W which is much higher.</text>
  </threadedComment>
  <threadedComment ref="CK113" dT="2021-04-06T21:21:43.58" personId="{1D3B1073-06F6-49EB-907A-75F694B37638}" id="{877271F4-6C9E-49EB-9DF0-B25D9BF96DF1}">
    <text>Replaced with value from Column W. Considerably higher revenues. For the operator's location.</text>
  </threadedComment>
  <threadedComment ref="AM151" dT="2021-03-19T17:50:24.81" personId="{1D3B1073-06F6-49EB-907A-75F694B37638}" id="{8B3E282C-F382-4AF2-8451-1EDA18714AEB}">
    <text>Not sure this NAICS is correct.</text>
  </threadedComment>
  <threadedComment ref="AM156" dT="2021-03-19T17:33:07.56" personId="{1D3B1073-06F6-49EB-907A-75F694B37638}" id="{7F50B19E-75C6-489F-B16B-4E52E5ADC0CF}">
    <text>This NAICS seems wrong.</text>
  </threadedComment>
  <threadedComment ref="AM315" dT="2021-03-19T18:32:38.65" personId="{1D3B1073-06F6-49EB-907A-75F694B37638}" id="{2BAD8AA3-231F-4032-ABDF-2942D18C661F}">
    <text>D&amp;B look up call them Oil and gas lease brokers</text>
  </threadedComment>
  <threadedComment ref="AM363" dT="2021-03-19T18:24:15.42" personId="{1D3B1073-06F6-49EB-907A-75F694B37638}" id="{C6DFFCA5-EF97-4324-B896-AC721E4247F1}">
    <text>Manta descibes this location as "Categorized under Drilling and Production Platforms, Floating (Oil and Gas)" and uses this NAICS</text>
  </threadedComment>
  <threadedComment ref="A402" dT="2021-04-09T12:49:13.14" personId="{1D3B1073-06F6-49EB-907A-75F694B37638}" id="{E11EDB77-E03D-4713-8629-2998CCACA5D0}">
    <text>Spur Energy Partners LLC has two partners - The Energy and Minerals Group and KKR. The revenues associated with Spur Energy are likely not representative of total resources.</text>
  </threadedComment>
  <threadedComment ref="CK402" dT="2021-04-09T12:49:43.14" personId="{1D3B1073-06F6-49EB-907A-75F694B37638}" id="{BAEAECCD-2FB1-4E9E-A6F1-D70ED926CA52}">
    <text>Spur Energy Partners LLC has two partners - The Energy and Minerals Group and KKR. The revenues associated with Spur Energy are likely not representative of total resources.</text>
  </threadedComment>
  <threadedComment ref="AM407" dT="2021-03-19T19:07:56.27" personId="{1D3B1073-06F6-49EB-907A-75F694B37638}" id="{25A04034-B0C5-4B4A-9FAB-F3A81B0F3104}">
    <text>Not sure that the two companies match. Not sure about this NAICS</text>
  </threadedComment>
  <threadedComment ref="AM422" dT="2021-03-19T18:48:50.79" personId="{1D3B1073-06F6-49EB-907A-75F694B37638}" id="{985DEDEF-8F6A-4125-B20B-17E77C0A6A47}">
    <text>Not sure this NAICS is correct</text>
  </threadedComment>
  <threadedComment ref="AM426" dT="2021-03-19T18:53:36.01" personId="{1D3B1073-06F6-49EB-907A-75F694B37638}" id="{EF0B2042-161E-49A2-8E24-128294C53622}">
    <text>Manta assigns a Bar/Tavern SIC code</text>
  </threadedComment>
  <threadedComment ref="AM434" dT="2021-03-19T18:42:53.03" personId="{1D3B1073-06F6-49EB-907A-75F694B37638}" id="{1C4DE9E9-B11F-44AC-A55D-5F15D7B2B100}">
    <text>Not sure this is the correct NAICS</text>
  </threadedComment>
</ThreadedComments>
</file>

<file path=xl/threadedComments/threadedComment2.xml><?xml version="1.0" encoding="utf-8"?>
<ThreadedComments xmlns="http://schemas.microsoft.com/office/spreadsheetml/2018/threadedcomments" xmlns:x="http://schemas.openxmlformats.org/spreadsheetml/2006/main">
  <threadedComment ref="B2" dT="2021-03-25T14:53:02.73" personId="{1D3B1073-06F6-49EB-907A-75F694B37638}" id="{74CF442A-6DF0-4874-95FF-13D129253BAA}">
    <text>Includes an update to the name only match for 9 records checked by NAICS.COM</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microsoft.com/office/2017/10/relationships/threadedComment" Target="../threadedComments/threadedComment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hyperlink" Target="mailto:infoctr@eia.gov" TargetMode="External"/><Relationship Id="rId7" Type="http://schemas.openxmlformats.org/officeDocument/2006/relationships/drawing" Target="../drawings/drawing1.xml"/><Relationship Id="rId2" Type="http://schemas.openxmlformats.org/officeDocument/2006/relationships/hyperlink" Target="http://www.eia.gov/" TargetMode="External"/><Relationship Id="rId1" Type="http://schemas.openxmlformats.org/officeDocument/2006/relationships/hyperlink" Target="https://www.eia.gov/dnav/pet/hist/LeafHandler.ashx?n=PET&amp;s=F003035__3&amp;f=M" TargetMode="External"/><Relationship Id="rId6" Type="http://schemas.openxmlformats.org/officeDocument/2006/relationships/printerSettings" Target="../printerSettings/printerSettings6.bin"/><Relationship Id="rId5" Type="http://schemas.openxmlformats.org/officeDocument/2006/relationships/hyperlink" Target="file:///C:\Users\SDay\Downloads\InfoCtr@eia.gov" TargetMode="External"/><Relationship Id="rId4" Type="http://schemas.openxmlformats.org/officeDocument/2006/relationships/hyperlink" Target="http://www.eia.gov/dnav/ng/hist/rngwhhdm.htm"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HU1422"/>
  <sheetViews>
    <sheetView tabSelected="1" zoomScale="85" zoomScaleNormal="85" workbookViewId="0">
      <pane xSplit="1" ySplit="2" topLeftCell="AQ468" activePane="bottomRight" state="frozen"/>
      <selection pane="topRight" activeCell="B1" sqref="B1"/>
      <selection pane="bottomLeft" activeCell="A3" sqref="A3"/>
      <selection pane="bottomRight" activeCell="CP502" sqref="CP502"/>
    </sheetView>
  </sheetViews>
  <sheetFormatPr defaultRowHeight="15" x14ac:dyDescent="0.25"/>
  <cols>
    <col min="1" max="1" width="51.5703125" customWidth="1"/>
    <col min="2" max="2" width="34.140625" hidden="1" customWidth="1"/>
    <col min="3" max="3" width="10" hidden="1" customWidth="1"/>
    <col min="4" max="4" width="20.140625" hidden="1" customWidth="1"/>
    <col min="5" max="5" width="11.5703125" hidden="1" customWidth="1"/>
    <col min="6" max="6" width="10.7109375" hidden="1" customWidth="1"/>
    <col min="7" max="7" width="12" hidden="1" customWidth="1"/>
    <col min="8" max="8" width="11.5703125" hidden="1" customWidth="1"/>
    <col min="9" max="9" width="12" hidden="1" customWidth="1"/>
    <col min="10" max="10" width="10.85546875" hidden="1" customWidth="1"/>
    <col min="11" max="11" width="16.85546875" hidden="1" customWidth="1"/>
    <col min="12" max="12" width="14.7109375" hidden="1" customWidth="1"/>
    <col min="13" max="13" width="8" hidden="1" customWidth="1"/>
    <col min="14" max="14" width="13.5703125" hidden="1" customWidth="1"/>
    <col min="15" max="15" width="29" hidden="1" customWidth="1"/>
    <col min="16" max="16" width="10.42578125" hidden="1" customWidth="1"/>
    <col min="17" max="17" width="25.42578125" hidden="1" customWidth="1"/>
    <col min="18" max="18" width="12.140625" hidden="1" customWidth="1"/>
    <col min="19" max="19" width="14" hidden="1" customWidth="1"/>
    <col min="20" max="20" width="13.7109375" hidden="1" customWidth="1"/>
    <col min="21" max="21" width="10.28515625" hidden="1" customWidth="1"/>
    <col min="22" max="22" width="14.28515625" hidden="1" customWidth="1"/>
    <col min="23" max="23" width="15.5703125" hidden="1" customWidth="1"/>
    <col min="24" max="24" width="11.28515625" hidden="1" customWidth="1"/>
    <col min="25" max="25" width="13" hidden="1" customWidth="1"/>
    <col min="26" max="26" width="9.7109375" hidden="1" customWidth="1"/>
    <col min="27" max="27" width="15.5703125" hidden="1" customWidth="1"/>
    <col min="28" max="28" width="22.5703125" hidden="1" customWidth="1"/>
    <col min="29" max="29" width="21.5703125" hidden="1" customWidth="1"/>
    <col min="30" max="30" width="29.42578125" hidden="1" customWidth="1"/>
    <col min="31" max="31" width="10.140625" hidden="1" customWidth="1"/>
    <col min="32" max="32" width="31.85546875" hidden="1" customWidth="1"/>
    <col min="33" max="33" width="7.42578125" hidden="1" customWidth="1"/>
    <col min="34" max="34" width="32.28515625" hidden="1" customWidth="1"/>
    <col min="35" max="35" width="12.28515625" hidden="1" customWidth="1"/>
    <col min="36" max="36" width="35.85546875" hidden="1" customWidth="1"/>
    <col min="37" max="37" width="12.28515625" hidden="1" customWidth="1"/>
    <col min="38" max="38" width="40.140625" hidden="1" customWidth="1"/>
    <col min="39" max="39" width="12.28515625" hidden="1" customWidth="1"/>
    <col min="40" max="40" width="33" hidden="1" customWidth="1"/>
    <col min="41" max="41" width="9.5703125" hidden="1" customWidth="1"/>
    <col min="42" max="42" width="23.7109375" hidden="1" customWidth="1"/>
    <col min="43" max="43" width="15.42578125" customWidth="1"/>
    <col min="44" max="44" width="12.28515625" hidden="1" customWidth="1"/>
    <col min="45" max="45" width="36.85546875" hidden="1" customWidth="1"/>
    <col min="46" max="46" width="11.140625" hidden="1" customWidth="1"/>
    <col min="47" max="47" width="14.85546875" hidden="1" customWidth="1"/>
    <col min="48" max="48" width="13" hidden="1" customWidth="1"/>
    <col min="49" max="49" width="14.7109375" hidden="1" customWidth="1"/>
    <col min="50" max="50" width="19.7109375" hidden="1" customWidth="1"/>
    <col min="51" max="51" width="14.85546875" hidden="1" customWidth="1"/>
    <col min="52" max="53" width="14.7109375" hidden="1" customWidth="1"/>
    <col min="54" max="54" width="13" hidden="1" customWidth="1"/>
    <col min="55" max="55" width="20.140625" hidden="1" customWidth="1"/>
    <col min="56" max="56" width="14.85546875" hidden="1" customWidth="1"/>
    <col min="57" max="57" width="12.5703125" hidden="1" customWidth="1"/>
    <col min="58" max="58" width="11.7109375" hidden="1" customWidth="1"/>
    <col min="59" max="59" width="13.140625" hidden="1" customWidth="1"/>
    <col min="60" max="60" width="24.28515625" style="4" customWidth="1"/>
    <col min="61" max="61" width="42.28515625" style="4" hidden="1" customWidth="1"/>
    <col min="62" max="62" width="10.85546875" style="4" hidden="1" customWidth="1"/>
    <col min="63" max="63" width="22.5703125" style="4" hidden="1" customWidth="1"/>
    <col min="64" max="64" width="14.28515625" style="4" hidden="1" customWidth="1"/>
    <col min="65" max="65" width="11.42578125" style="4" hidden="1" customWidth="1"/>
    <col min="66" max="66" width="13.7109375" style="4" hidden="1" customWidth="1"/>
    <col min="67" max="67" width="11.7109375" style="4" hidden="1" customWidth="1"/>
    <col min="68" max="68" width="14.28515625" style="4" hidden="1" customWidth="1"/>
    <col min="69" max="69" width="16.5703125" style="4" hidden="1" customWidth="1"/>
    <col min="70" max="71" width="13" style="4" hidden="1" customWidth="1"/>
    <col min="72" max="72" width="9.7109375" style="4" hidden="1" customWidth="1"/>
    <col min="73" max="73" width="15.5703125" style="4" hidden="1" customWidth="1"/>
    <col min="74" max="74" width="20.7109375" style="4" hidden="1" customWidth="1"/>
    <col min="75" max="75" width="21.7109375" style="4" hidden="1" customWidth="1"/>
    <col min="76" max="76" width="31" style="4" hidden="1" customWidth="1"/>
    <col min="77" max="77" width="10.140625" style="4" hidden="1" customWidth="1"/>
    <col min="78" max="78" width="23.85546875" style="4" hidden="1" customWidth="1"/>
    <col min="79" max="79" width="7.42578125" style="4" hidden="1" customWidth="1"/>
    <col min="80" max="80" width="32.5703125" style="4" hidden="1" customWidth="1"/>
    <col min="81" max="81" width="12.28515625" style="4" hidden="1" customWidth="1"/>
    <col min="82" max="82" width="33.7109375" style="4" hidden="1" customWidth="1"/>
    <col min="83" max="83" width="15.5703125" style="4" hidden="1" customWidth="1"/>
    <col min="84" max="84" width="36.85546875" style="4" hidden="1" customWidth="1"/>
    <col min="85" max="85" width="12.85546875" style="4" hidden="1" customWidth="1"/>
    <col min="86" max="86" width="21.5703125" style="4" hidden="1" customWidth="1"/>
    <col min="87" max="87" width="10.140625" style="4" hidden="1" customWidth="1"/>
    <col min="88" max="88" width="25.28515625" style="4" hidden="1" customWidth="1"/>
    <col min="89" max="89" width="16.5703125" style="17" customWidth="1"/>
    <col min="90" max="90" width="14.5703125" style="18" customWidth="1"/>
    <col min="91" max="91" width="18.28515625" customWidth="1"/>
    <col min="92" max="92" width="12.42578125" customWidth="1"/>
    <col min="93" max="93" width="9.85546875" hidden="1" customWidth="1"/>
    <col min="94" max="94" width="16.7109375" customWidth="1"/>
    <col min="95" max="95" width="12.7109375" customWidth="1"/>
    <col min="96" max="96" width="70.140625" hidden="1" customWidth="1"/>
    <col min="97" max="97" width="13.42578125" customWidth="1"/>
    <col min="98" max="98" width="15.42578125" customWidth="1"/>
    <col min="99" max="99" width="12.85546875" customWidth="1"/>
    <col min="100" max="100" width="10" customWidth="1"/>
    <col min="101" max="101" width="30.28515625" hidden="1" customWidth="1"/>
    <col min="102" max="102" width="35" hidden="1" customWidth="1"/>
    <col min="103" max="103" width="9.5703125" hidden="1" customWidth="1"/>
    <col min="104" max="104" width="7.7109375" customWidth="1"/>
    <col min="105" max="105" width="8.5703125" customWidth="1"/>
    <col min="106" max="107" width="8.42578125" customWidth="1"/>
    <col min="108" max="108" width="13.42578125" customWidth="1"/>
    <col min="109" max="109" width="16.7109375" customWidth="1"/>
    <col min="110" max="110" width="19.28515625" customWidth="1"/>
    <col min="111" max="111" width="15.7109375" customWidth="1"/>
    <col min="112" max="113" width="17.42578125" customWidth="1"/>
    <col min="114" max="114" width="19.42578125" customWidth="1"/>
    <col min="115" max="115" width="21.5703125" style="21" customWidth="1"/>
  </cols>
  <sheetData>
    <row r="1" spans="1:229" s="7" customFormat="1" ht="42" customHeight="1" x14ac:dyDescent="0.3">
      <c r="A1" s="70" t="s">
        <v>4463</v>
      </c>
      <c r="B1" s="70"/>
      <c r="C1" s="70"/>
      <c r="D1" s="70"/>
      <c r="E1" s="70"/>
      <c r="F1" s="70"/>
      <c r="G1" s="70"/>
      <c r="H1" s="70"/>
      <c r="I1" s="70"/>
      <c r="J1" s="70" t="s">
        <v>4462</v>
      </c>
      <c r="K1" s="70"/>
      <c r="L1" s="70"/>
      <c r="M1" s="70"/>
      <c r="N1" s="70" t="s">
        <v>4461</v>
      </c>
      <c r="O1" s="70"/>
      <c r="P1" s="70"/>
      <c r="Q1" s="70"/>
      <c r="R1" s="70"/>
      <c r="S1" s="70"/>
      <c r="T1" s="70"/>
      <c r="U1" s="70"/>
      <c r="V1" s="70"/>
      <c r="W1" s="70"/>
      <c r="X1" s="70"/>
      <c r="Y1" s="70"/>
      <c r="Z1" s="70"/>
      <c r="AA1" s="70"/>
      <c r="AB1" s="70"/>
      <c r="AC1" s="70"/>
      <c r="AD1" s="70"/>
      <c r="AE1" s="70"/>
      <c r="AF1" s="70"/>
      <c r="AG1" s="70"/>
      <c r="AH1" s="70"/>
      <c r="AI1" s="70"/>
      <c r="AJ1" s="70"/>
      <c r="AK1" s="70"/>
      <c r="AL1" s="70"/>
      <c r="AM1" s="70"/>
      <c r="AN1" s="70"/>
      <c r="AO1" s="70"/>
      <c r="AP1" s="70"/>
      <c r="AQ1" s="70"/>
      <c r="AR1" s="70"/>
      <c r="AS1" s="70"/>
      <c r="AT1" s="70"/>
      <c r="AU1" s="70"/>
      <c r="AV1" s="70"/>
      <c r="AW1" s="70"/>
      <c r="AX1" s="70"/>
      <c r="AY1" s="70"/>
      <c r="AZ1" s="70"/>
      <c r="BA1" s="70"/>
      <c r="BB1" s="70"/>
      <c r="BC1" s="70"/>
      <c r="BD1" s="70"/>
      <c r="BE1" s="70"/>
      <c r="BF1" s="70"/>
      <c r="BG1" s="70"/>
      <c r="BH1" s="71" t="s">
        <v>4464</v>
      </c>
      <c r="BI1" s="71"/>
      <c r="BJ1" s="71"/>
      <c r="BK1" s="71"/>
      <c r="BL1" s="71"/>
      <c r="BM1" s="71"/>
      <c r="BN1" s="71"/>
      <c r="BO1" s="71"/>
      <c r="BP1" s="71"/>
      <c r="BQ1" s="71"/>
      <c r="BR1" s="71"/>
      <c r="BS1" s="71"/>
      <c r="BT1" s="71"/>
      <c r="BU1" s="71"/>
      <c r="BV1" s="71"/>
      <c r="BW1" s="71"/>
      <c r="BX1" s="71"/>
      <c r="BY1" s="71"/>
      <c r="BZ1" s="71"/>
      <c r="CA1" s="71"/>
      <c r="CB1" s="71"/>
      <c r="CC1" s="71"/>
      <c r="CD1" s="71"/>
      <c r="CE1" s="71"/>
      <c r="CF1" s="71"/>
      <c r="CG1" s="71"/>
      <c r="CH1" s="71"/>
      <c r="CI1" s="71"/>
      <c r="CJ1" s="71"/>
      <c r="CK1" s="72"/>
      <c r="CL1" s="73"/>
      <c r="CM1" s="74"/>
      <c r="CN1" s="74"/>
      <c r="CO1" s="70"/>
      <c r="CP1" s="70"/>
      <c r="CQ1" s="70"/>
      <c r="CR1" s="70"/>
      <c r="CS1" s="322" t="s">
        <v>4459</v>
      </c>
      <c r="CT1" s="322"/>
      <c r="CU1" s="322"/>
      <c r="CV1" s="322"/>
      <c r="CW1" s="89"/>
      <c r="CX1" s="119"/>
      <c r="CY1" s="119"/>
      <c r="CZ1" s="121"/>
      <c r="DA1" s="119"/>
      <c r="DB1" s="119"/>
      <c r="DC1" s="119"/>
      <c r="DD1" s="119" t="s">
        <v>5187</v>
      </c>
      <c r="DE1" s="120" t="s">
        <v>5186</v>
      </c>
      <c r="DF1" s="257"/>
      <c r="DG1" s="285"/>
      <c r="DH1" s="286"/>
      <c r="DI1" s="288"/>
      <c r="DJ1" s="287"/>
      <c r="DK1" s="315"/>
    </row>
    <row r="2" spans="1:229" s="3" customFormat="1" ht="65.25" customHeight="1" x14ac:dyDescent="0.25">
      <c r="A2" s="75" t="s">
        <v>0</v>
      </c>
      <c r="B2" s="75" t="s">
        <v>1</v>
      </c>
      <c r="C2" s="75" t="s">
        <v>2</v>
      </c>
      <c r="D2" s="75" t="s">
        <v>3</v>
      </c>
      <c r="E2" s="75" t="s">
        <v>4</v>
      </c>
      <c r="F2" s="75" t="s">
        <v>5</v>
      </c>
      <c r="G2" s="75" t="s">
        <v>6</v>
      </c>
      <c r="H2" s="75" t="s">
        <v>7</v>
      </c>
      <c r="I2" s="76" t="s">
        <v>8</v>
      </c>
      <c r="J2" s="76" t="s">
        <v>9</v>
      </c>
      <c r="K2" s="76" t="s">
        <v>4135</v>
      </c>
      <c r="L2" s="76" t="s">
        <v>10</v>
      </c>
      <c r="M2" s="76" t="s">
        <v>11</v>
      </c>
      <c r="N2" s="76" t="s">
        <v>12</v>
      </c>
      <c r="O2" s="76" t="s">
        <v>13</v>
      </c>
      <c r="P2" s="76" t="s">
        <v>14</v>
      </c>
      <c r="Q2" s="76" t="s">
        <v>15</v>
      </c>
      <c r="R2" s="76" t="s">
        <v>16</v>
      </c>
      <c r="S2" s="76" t="s">
        <v>17</v>
      </c>
      <c r="T2" s="76" t="s">
        <v>18</v>
      </c>
      <c r="U2" s="76" t="s">
        <v>19</v>
      </c>
      <c r="V2" s="76" t="s">
        <v>20</v>
      </c>
      <c r="W2" s="76" t="s">
        <v>21</v>
      </c>
      <c r="X2" s="76" t="s">
        <v>22</v>
      </c>
      <c r="Y2" s="76" t="s">
        <v>23</v>
      </c>
      <c r="Z2" s="76" t="s">
        <v>24</v>
      </c>
      <c r="AA2" s="76" t="s">
        <v>25</v>
      </c>
      <c r="AB2" s="76" t="s">
        <v>26</v>
      </c>
      <c r="AC2" s="76" t="s">
        <v>27</v>
      </c>
      <c r="AD2" s="76" t="s">
        <v>28</v>
      </c>
      <c r="AE2" s="76" t="s">
        <v>29</v>
      </c>
      <c r="AF2" s="76" t="s">
        <v>30</v>
      </c>
      <c r="AG2" s="76" t="s">
        <v>31</v>
      </c>
      <c r="AH2" s="76" t="s">
        <v>32</v>
      </c>
      <c r="AI2" s="76" t="s">
        <v>33</v>
      </c>
      <c r="AJ2" s="76" t="s">
        <v>34</v>
      </c>
      <c r="AK2" s="76" t="s">
        <v>35</v>
      </c>
      <c r="AL2" s="76" t="s">
        <v>36</v>
      </c>
      <c r="AM2" s="76" t="s">
        <v>37</v>
      </c>
      <c r="AN2" s="76" t="s">
        <v>38</v>
      </c>
      <c r="AO2" s="76" t="s">
        <v>39</v>
      </c>
      <c r="AP2" s="76" t="s">
        <v>40</v>
      </c>
      <c r="AQ2" s="76" t="s">
        <v>41</v>
      </c>
      <c r="AR2" s="76" t="s">
        <v>42</v>
      </c>
      <c r="AS2" s="76" t="s">
        <v>43</v>
      </c>
      <c r="AT2" s="76" t="s">
        <v>44</v>
      </c>
      <c r="AU2" s="76" t="s">
        <v>45</v>
      </c>
      <c r="AV2" s="76" t="s">
        <v>46</v>
      </c>
      <c r="AW2" s="76" t="s">
        <v>47</v>
      </c>
      <c r="AX2" s="76" t="s">
        <v>48</v>
      </c>
      <c r="AY2" s="76" t="s">
        <v>49</v>
      </c>
      <c r="AZ2" s="76" t="s">
        <v>50</v>
      </c>
      <c r="BA2" s="76" t="s">
        <v>51</v>
      </c>
      <c r="BB2" s="76" t="s">
        <v>52</v>
      </c>
      <c r="BC2" s="76" t="s">
        <v>53</v>
      </c>
      <c r="BD2" s="76" t="s">
        <v>54</v>
      </c>
      <c r="BE2" s="76" t="s">
        <v>55</v>
      </c>
      <c r="BF2" s="76" t="s">
        <v>56</v>
      </c>
      <c r="BG2" s="76" t="s">
        <v>57</v>
      </c>
      <c r="BH2" s="77" t="s">
        <v>4337</v>
      </c>
      <c r="BI2" s="77" t="s">
        <v>13</v>
      </c>
      <c r="BJ2" s="77" t="s">
        <v>14</v>
      </c>
      <c r="BK2" s="77" t="s">
        <v>15</v>
      </c>
      <c r="BL2" s="77" t="s">
        <v>16</v>
      </c>
      <c r="BM2" s="77" t="s">
        <v>17</v>
      </c>
      <c r="BN2" s="77" t="s">
        <v>18</v>
      </c>
      <c r="BO2" s="77" t="s">
        <v>19</v>
      </c>
      <c r="BP2" s="77" t="s">
        <v>20</v>
      </c>
      <c r="BQ2" s="77" t="s">
        <v>21</v>
      </c>
      <c r="BR2" s="77" t="s">
        <v>22</v>
      </c>
      <c r="BS2" s="77" t="s">
        <v>23</v>
      </c>
      <c r="BT2" s="77" t="s">
        <v>24</v>
      </c>
      <c r="BU2" s="77" t="s">
        <v>25</v>
      </c>
      <c r="BV2" s="77" t="s">
        <v>26</v>
      </c>
      <c r="BW2" s="77" t="s">
        <v>27</v>
      </c>
      <c r="BX2" s="77" t="s">
        <v>28</v>
      </c>
      <c r="BY2" s="77" t="s">
        <v>29</v>
      </c>
      <c r="BZ2" s="77" t="s">
        <v>30</v>
      </c>
      <c r="CA2" s="77" t="s">
        <v>31</v>
      </c>
      <c r="CB2" s="77" t="s">
        <v>32</v>
      </c>
      <c r="CC2" s="77" t="s">
        <v>33</v>
      </c>
      <c r="CD2" s="77" t="s">
        <v>34</v>
      </c>
      <c r="CE2" s="77" t="s">
        <v>35</v>
      </c>
      <c r="CF2" s="77" t="s">
        <v>36</v>
      </c>
      <c r="CG2" s="77" t="s">
        <v>37</v>
      </c>
      <c r="CH2" s="77" t="s">
        <v>38</v>
      </c>
      <c r="CI2" s="77" t="s">
        <v>39</v>
      </c>
      <c r="CJ2" s="77" t="s">
        <v>40</v>
      </c>
      <c r="CK2" s="296" t="s">
        <v>4460</v>
      </c>
      <c r="CL2" s="297" t="s">
        <v>4375</v>
      </c>
      <c r="CM2" s="298" t="s">
        <v>4410</v>
      </c>
      <c r="CN2" s="298" t="s">
        <v>4456</v>
      </c>
      <c r="CO2" s="299" t="s">
        <v>4384</v>
      </c>
      <c r="CP2" s="299" t="s">
        <v>4454</v>
      </c>
      <c r="CQ2" s="299" t="s">
        <v>4455</v>
      </c>
      <c r="CR2" s="299" t="s">
        <v>4382</v>
      </c>
      <c r="CS2" s="300" t="s">
        <v>4427</v>
      </c>
      <c r="CT2" s="301" t="s">
        <v>4428</v>
      </c>
      <c r="CU2" s="302" t="s">
        <v>4429</v>
      </c>
      <c r="CV2" s="303" t="s">
        <v>4430</v>
      </c>
      <c r="CW2" s="304" t="s">
        <v>4446</v>
      </c>
      <c r="CX2" s="305" t="s">
        <v>4534</v>
      </c>
      <c r="CY2" s="305" t="s">
        <v>4532</v>
      </c>
      <c r="CZ2" s="305" t="s">
        <v>4471</v>
      </c>
      <c r="DA2" s="305" t="s">
        <v>4467</v>
      </c>
      <c r="DB2" s="305" t="s">
        <v>4468</v>
      </c>
      <c r="DC2" s="305" t="s">
        <v>5204</v>
      </c>
      <c r="DD2" s="305" t="s">
        <v>5192</v>
      </c>
      <c r="DE2" s="305" t="s">
        <v>5193</v>
      </c>
      <c r="DF2" s="291" t="s">
        <v>5207</v>
      </c>
      <c r="DG2" s="292" t="s">
        <v>5194</v>
      </c>
      <c r="DH2" s="293" t="s">
        <v>5195</v>
      </c>
      <c r="DI2" s="294" t="s">
        <v>5196</v>
      </c>
      <c r="DJ2" s="295" t="s">
        <v>5206</v>
      </c>
      <c r="DK2" s="316"/>
    </row>
    <row r="3" spans="1:229" x14ac:dyDescent="0.25">
      <c r="A3" t="s">
        <v>244</v>
      </c>
      <c r="B3" t="s">
        <v>245</v>
      </c>
      <c r="D3" t="s">
        <v>246</v>
      </c>
      <c r="E3" t="s">
        <v>80</v>
      </c>
      <c r="F3">
        <v>75074</v>
      </c>
      <c r="G3" t="s">
        <v>62</v>
      </c>
      <c r="I3">
        <v>23</v>
      </c>
      <c r="J3" t="s">
        <v>89</v>
      </c>
      <c r="K3" t="s">
        <v>4133</v>
      </c>
      <c r="L3" t="s">
        <v>247</v>
      </c>
      <c r="M3">
        <v>10</v>
      </c>
      <c r="N3" t="s">
        <v>248</v>
      </c>
      <c r="O3" t="s">
        <v>244</v>
      </c>
      <c r="P3" t="s">
        <v>249</v>
      </c>
      <c r="Q3" t="s">
        <v>250</v>
      </c>
      <c r="R3" t="s">
        <v>246</v>
      </c>
      <c r="S3" t="s">
        <v>94</v>
      </c>
      <c r="T3" t="s">
        <v>251</v>
      </c>
      <c r="U3" t="s">
        <v>62</v>
      </c>
      <c r="V3">
        <v>2147543260</v>
      </c>
      <c r="X3">
        <v>25</v>
      </c>
      <c r="Y3">
        <v>0</v>
      </c>
      <c r="AA3" t="s">
        <v>96</v>
      </c>
      <c r="AB3" t="s">
        <v>252</v>
      </c>
      <c r="AC3" t="s">
        <v>179</v>
      </c>
      <c r="AD3" t="s">
        <v>253</v>
      </c>
      <c r="AE3">
        <v>5541</v>
      </c>
      <c r="AF3" t="s">
        <v>254</v>
      </c>
      <c r="AI3">
        <v>55419901</v>
      </c>
      <c r="AJ3" t="s">
        <v>255</v>
      </c>
      <c r="AM3">
        <v>447190</v>
      </c>
      <c r="AN3" t="s">
        <v>256</v>
      </c>
      <c r="AQ3" t="s">
        <v>75</v>
      </c>
      <c r="AR3" t="s">
        <v>257</v>
      </c>
      <c r="AS3" t="s">
        <v>258</v>
      </c>
      <c r="AT3" t="s">
        <v>76</v>
      </c>
      <c r="AV3" t="s">
        <v>259</v>
      </c>
      <c r="AW3" t="s">
        <v>260</v>
      </c>
      <c r="AX3" t="s">
        <v>261</v>
      </c>
      <c r="AY3" t="s">
        <v>262</v>
      </c>
      <c r="AZ3" t="s">
        <v>62</v>
      </c>
      <c r="BB3" t="s">
        <v>263</v>
      </c>
      <c r="BC3" t="s">
        <v>264</v>
      </c>
      <c r="BD3" t="s">
        <v>265</v>
      </c>
      <c r="BE3" t="s">
        <v>259</v>
      </c>
      <c r="BF3">
        <v>3</v>
      </c>
      <c r="BG3">
        <v>4401</v>
      </c>
      <c r="BH3" s="4" t="s">
        <v>257</v>
      </c>
      <c r="BI3" s="4" t="s">
        <v>258</v>
      </c>
      <c r="BJ3" s="4" t="s">
        <v>3641</v>
      </c>
      <c r="BK3" s="4" t="s">
        <v>4143</v>
      </c>
      <c r="BL3" s="4" t="s">
        <v>4144</v>
      </c>
      <c r="BN3" s="4" t="s">
        <v>4145</v>
      </c>
      <c r="BO3" s="4" t="s">
        <v>259</v>
      </c>
      <c r="BP3" s="4">
        <v>2074964000</v>
      </c>
      <c r="BQ3" s="5">
        <v>278397000000</v>
      </c>
      <c r="BR3" s="4">
        <v>0</v>
      </c>
      <c r="BS3" s="6">
        <v>72500</v>
      </c>
      <c r="BT3" s="4">
        <v>1909</v>
      </c>
      <c r="BU3" s="4" t="s">
        <v>163</v>
      </c>
      <c r="BV3" s="4" t="s">
        <v>4146</v>
      </c>
      <c r="BW3" s="4" t="s">
        <v>1234</v>
      </c>
      <c r="BX3" s="4" t="s">
        <v>1408</v>
      </c>
      <c r="BY3" s="4">
        <v>6719</v>
      </c>
      <c r="BZ3" s="4" t="s">
        <v>1409</v>
      </c>
      <c r="CC3" s="4">
        <v>67190000</v>
      </c>
      <c r="CD3" s="4" t="s">
        <v>1410</v>
      </c>
      <c r="CG3" s="4">
        <v>551112</v>
      </c>
      <c r="CH3" s="4" t="s">
        <v>1411</v>
      </c>
      <c r="CK3" s="19">
        <f>IF(BQ3&gt;0,BQ3,W3)</f>
        <v>278397000000</v>
      </c>
      <c r="CL3" s="20">
        <f>IF(BS3&gt;0,BS3,Y3)</f>
        <v>72500</v>
      </c>
      <c r="CM3" s="34">
        <f>IF(CG3&gt;0,CG3,AM3)</f>
        <v>551112</v>
      </c>
      <c r="CN3" s="80">
        <f>IF($BH3="",1,COUNTIF($BH$3:$BH3,$BH3))</f>
        <v>1</v>
      </c>
      <c r="CP3" t="str">
        <f>IF($K3="Standard Match","Match",IF($K3="Name Only Match",IF($CO3="Yes","Match","Name Only Match"),"No Match"))</f>
        <v>Match</v>
      </c>
      <c r="CQ3" s="35" t="str">
        <f>IF(AND(CP3="Match",CK3&gt;0,CL3&gt;0),"Y","N")</f>
        <v>Y</v>
      </c>
      <c r="CS3" t="str">
        <f>IF($CQ3="Y",VLOOKUP($CM3,'SBA Size Standards'!$B$3:$G$57,MATCH('SBA Size Standards'!$G$3,'SBA Size Standards'!$B$3:$G$3,0),FALSE),"")</f>
        <v>Revenue</v>
      </c>
      <c r="CT3" s="60">
        <f>IF(CQ3="Y",IF($CS3="Employment","N/A",VLOOKUP($CM3,'SBA Size Standards'!$B$3:$G$57,MATCH('SBA Size Standards'!$E$3,'SBA Size Standards'!$B$3:$G$3,0),FALSE)),"")</f>
        <v>22000000</v>
      </c>
      <c r="CU3" s="86" t="str">
        <f>IF($CQ3="Y",IF($CS3="Revenue","N/A",VLOOKUP($CM3,'SBA Size Standards'!$B$3:$G$57,MATCH('SBA Size Standards'!$F$3,'SBA Size Standards'!$B$3:$G$3,0),FALSE)),"")</f>
        <v>N/A</v>
      </c>
      <c r="CV3" t="str">
        <f>IF($CQ3="Y",IF(OR(AND($CS3="Employment",$CL3&lt;$CU3),AND($CS3="Revenue",$CK3&lt;$CT3)),"YES","NO"),"")</f>
        <v>NO</v>
      </c>
      <c r="CW3" s="90" t="str">
        <f>IF($CQ3="Y",INDEX('SBA Size Standards'!$N$3:$N$12,MATCH($CK3,'SBA Size Standards'!$O$3:$O$12,1)),"")</f>
        <v>&gt;$125,000,000,000</v>
      </c>
      <c r="CX3" s="122" t="s">
        <v>4543</v>
      </c>
      <c r="CY3" s="122">
        <f>INDEX('NM O&amp;G Production'!$P$3:$P$537,MATCH(CX3,'NM O&amp;G Production'!$Q$3:$Q$537,0))</f>
        <v>23</v>
      </c>
      <c r="CZ3" s="122" t="str">
        <f>INDEX('NM O&amp;G Production'!$O$3:$O$537,MATCH(CY3,'NM O&amp;G Production'!$P$3:$P$537,0))</f>
        <v>No</v>
      </c>
      <c r="DA3" s="127">
        <f>INDEX('NM O&amp;G Production'!$K$3:$O$537,MATCH($CY3,'NM O&amp;G Production'!$P$3:$P$537,0),MATCH(DA$2,'NM O&amp;G Production'!$K$2:$O$2,0))</f>
        <v>0</v>
      </c>
      <c r="DB3" s="127">
        <f>INDEX('NM O&amp;G Production'!$K$3:$O$537,MATCH($CY3,'NM O&amp;G Production'!$P$3:$P$537,0),MATCH(DB$2,'NM O&amp;G Production'!$K$2:$O$2,0))</f>
        <v>0</v>
      </c>
      <c r="DC3" s="127"/>
      <c r="DD3" s="127">
        <f>INDEX('NM O&amp;G Production'!$K$3:$O$537,MATCH($CY3,'NM O&amp;G Production'!$P$3:$P$537,0),MATCH(DD$2,'NM O&amp;G Production'!$K$2:$O$2,0))</f>
        <v>0</v>
      </c>
      <c r="DE3" s="127">
        <f>INDEX('NM O&amp;G Production'!$K$3:$O$537,MATCH($CY3,'NM O&amp;G Production'!$P$3:$P$537,0),MATCH(DE$2,'NM O&amp;G Production'!$K$2:$O$2,0))</f>
        <v>0</v>
      </c>
      <c r="DF3" s="258" t="e">
        <f>CK3/(DB3+DA3)</f>
        <v>#DIV/0!</v>
      </c>
      <c r="DG3" s="57">
        <f>DD3*(12/18)*1.06*'Oil and Gas Prices'!$C$18</f>
        <v>0</v>
      </c>
      <c r="DH3" s="284">
        <f>DE3*(12/18)*'Oil and Gas Prices'!$C$4</f>
        <v>0</v>
      </c>
      <c r="DI3" s="284"/>
      <c r="DJ3" s="57" t="e">
        <f>(DG3+DH3)/(DA3+DB3)</f>
        <v>#DIV/0!</v>
      </c>
      <c r="DK3" s="18" t="e">
        <f>CK3/DI3</f>
        <v>#DIV/0!</v>
      </c>
    </row>
    <row r="4" spans="1:229" s="231" customFormat="1" x14ac:dyDescent="0.25">
      <c r="A4" t="s">
        <v>383</v>
      </c>
      <c r="B4" t="s">
        <v>384</v>
      </c>
      <c r="C4"/>
      <c r="D4" t="s">
        <v>385</v>
      </c>
      <c r="E4" t="s">
        <v>262</v>
      </c>
      <c r="F4">
        <v>60555</v>
      </c>
      <c r="G4" t="s">
        <v>62</v>
      </c>
      <c r="H4"/>
      <c r="I4">
        <v>47</v>
      </c>
      <c r="J4" t="s">
        <v>63</v>
      </c>
      <c r="K4" t="s">
        <v>4133</v>
      </c>
      <c r="L4" t="s">
        <v>64</v>
      </c>
      <c r="M4">
        <v>10</v>
      </c>
      <c r="N4" t="s">
        <v>386</v>
      </c>
      <c r="O4" t="s">
        <v>387</v>
      </c>
      <c r="P4" t="s">
        <v>388</v>
      </c>
      <c r="Q4" t="s">
        <v>389</v>
      </c>
      <c r="R4" t="s">
        <v>385</v>
      </c>
      <c r="S4" t="s">
        <v>390</v>
      </c>
      <c r="T4" t="s">
        <v>391</v>
      </c>
      <c r="U4" t="s">
        <v>62</v>
      </c>
      <c r="V4">
        <v>6304205111</v>
      </c>
      <c r="W4" s="1">
        <v>192309022</v>
      </c>
      <c r="X4">
        <v>116</v>
      </c>
      <c r="Y4">
        <v>900</v>
      </c>
      <c r="Z4">
        <v>1916</v>
      </c>
      <c r="AA4" t="s">
        <v>163</v>
      </c>
      <c r="AB4" t="s">
        <v>393</v>
      </c>
      <c r="AC4" t="s">
        <v>98</v>
      </c>
      <c r="AD4" t="s">
        <v>253</v>
      </c>
      <c r="AE4">
        <v>5541</v>
      </c>
      <c r="AF4" t="s">
        <v>254</v>
      </c>
      <c r="AG4">
        <v>4613</v>
      </c>
      <c r="AH4" t="s">
        <v>394</v>
      </c>
      <c r="AI4">
        <v>55419901</v>
      </c>
      <c r="AJ4" t="s">
        <v>255</v>
      </c>
      <c r="AK4">
        <v>46130000</v>
      </c>
      <c r="AL4" t="s">
        <v>395</v>
      </c>
      <c r="AM4">
        <v>447190</v>
      </c>
      <c r="AN4" t="s">
        <v>256</v>
      </c>
      <c r="AO4">
        <v>486910</v>
      </c>
      <c r="AP4" t="s">
        <v>396</v>
      </c>
      <c r="AQ4" t="s">
        <v>168</v>
      </c>
      <c r="AR4" t="s">
        <v>257</v>
      </c>
      <c r="AS4" t="s">
        <v>258</v>
      </c>
      <c r="AT4" t="s">
        <v>76</v>
      </c>
      <c r="AU4"/>
      <c r="AV4" t="s">
        <v>259</v>
      </c>
      <c r="AW4" t="s">
        <v>260</v>
      </c>
      <c r="AX4" t="s">
        <v>261</v>
      </c>
      <c r="AY4" t="s">
        <v>262</v>
      </c>
      <c r="AZ4" t="s">
        <v>62</v>
      </c>
      <c r="BA4" t="s">
        <v>397</v>
      </c>
      <c r="BB4"/>
      <c r="BC4" t="s">
        <v>398</v>
      </c>
      <c r="BD4" t="s">
        <v>262</v>
      </c>
      <c r="BE4" t="s">
        <v>259</v>
      </c>
      <c r="BF4">
        <v>5</v>
      </c>
      <c r="BG4">
        <v>4401</v>
      </c>
      <c r="BH4" s="4" t="s">
        <v>257</v>
      </c>
      <c r="BI4" s="4" t="s">
        <v>258</v>
      </c>
      <c r="BJ4" s="4" t="s">
        <v>3641</v>
      </c>
      <c r="BK4" s="4" t="s">
        <v>4143</v>
      </c>
      <c r="BL4" s="4" t="s">
        <v>4144</v>
      </c>
      <c r="BM4" s="4"/>
      <c r="BN4" s="4" t="s">
        <v>4145</v>
      </c>
      <c r="BO4" s="4" t="s">
        <v>259</v>
      </c>
      <c r="BP4" s="4">
        <v>2074964000</v>
      </c>
      <c r="BQ4" s="5">
        <v>278397000000</v>
      </c>
      <c r="BR4" s="4">
        <v>0</v>
      </c>
      <c r="BS4" s="6">
        <v>72500</v>
      </c>
      <c r="BT4" s="4">
        <v>1909</v>
      </c>
      <c r="BU4" s="4" t="s">
        <v>163</v>
      </c>
      <c r="BV4" s="4" t="s">
        <v>4146</v>
      </c>
      <c r="BW4" s="4" t="s">
        <v>1234</v>
      </c>
      <c r="BX4" s="4" t="s">
        <v>1408</v>
      </c>
      <c r="BY4" s="4">
        <v>6719</v>
      </c>
      <c r="BZ4" s="4" t="s">
        <v>1409</v>
      </c>
      <c r="CA4" s="4"/>
      <c r="CB4" s="4"/>
      <c r="CC4" s="4">
        <v>67190000</v>
      </c>
      <c r="CD4" s="4" t="s">
        <v>1410</v>
      </c>
      <c r="CE4" s="4"/>
      <c r="CF4" s="4"/>
      <c r="CG4" s="4">
        <v>551112</v>
      </c>
      <c r="CH4" s="4" t="s">
        <v>1411</v>
      </c>
      <c r="CI4" s="4"/>
      <c r="CJ4" s="4"/>
      <c r="CK4" s="19">
        <f>IF(BQ4&gt;0,BQ4,W4)</f>
        <v>278397000000</v>
      </c>
      <c r="CL4" s="20">
        <f>IF(BS4&gt;0,BS4,Y4)</f>
        <v>72500</v>
      </c>
      <c r="CM4" s="34">
        <f>IF(CG4&gt;0,CG4,AM4)</f>
        <v>551112</v>
      </c>
      <c r="CN4" s="80">
        <f>IF($BH4="",1,COUNTIF($BH$3:$BH4,$BH4))</f>
        <v>2</v>
      </c>
      <c r="CO4"/>
      <c r="CP4" t="str">
        <f>IF($K4="Standard Match","Match",IF($K4="Name Only Match",IF($CO4="Yes","Match","Name Only Match"),"No Match"))</f>
        <v>Match</v>
      </c>
      <c r="CQ4" s="35" t="str">
        <f>IF(AND(CP4="Match",CK4&gt;0,CL4&gt;0),"Y","N")</f>
        <v>Y</v>
      </c>
      <c r="CR4"/>
      <c r="CS4" t="str">
        <f>IF($CQ4="Y",VLOOKUP($CM4,'SBA Size Standards'!$B$3:$G$57,MATCH('SBA Size Standards'!$G$3,'SBA Size Standards'!$B$3:$G$3,0),FALSE),"")</f>
        <v>Revenue</v>
      </c>
      <c r="CT4" s="60">
        <f>IF(CQ4="Y",IF($CS4="Employment","N/A",VLOOKUP($CM4,'SBA Size Standards'!$B$3:$G$57,MATCH('SBA Size Standards'!$E$3,'SBA Size Standards'!$B$3:$G$3,0),FALSE)),"")</f>
        <v>22000000</v>
      </c>
      <c r="CU4" s="86" t="str">
        <f>IF($CQ4="Y",IF($CS4="Revenue","N/A",VLOOKUP($CM4,'SBA Size Standards'!$B$3:$G$57,MATCH('SBA Size Standards'!$F$3,'SBA Size Standards'!$B$3:$G$3,0),FALSE)),"")</f>
        <v>N/A</v>
      </c>
      <c r="CV4" t="str">
        <f>IF($CQ4="Y",IF(OR(AND($CS4="Employment",$CL4&lt;$CU4),AND($CS4="Revenue",$CK4&lt;$CT4)),"YES","NO"),"")</f>
        <v>NO</v>
      </c>
      <c r="CW4" s="90" t="str">
        <f>IF($CQ4="Y",INDEX('SBA Size Standards'!$N$3:$N$12,MATCH($CK4,'SBA Size Standards'!$O$3:$O$12,1)),"")</f>
        <v>&gt;$125,000,000,000</v>
      </c>
      <c r="CX4" s="122" t="s">
        <v>4550</v>
      </c>
      <c r="CY4" s="122">
        <f>INDEX('NM O&amp;G Production'!$P$3:$P$537,MATCH(CX4,'NM O&amp;G Production'!$Q$3:$Q$537,0))</f>
        <v>47</v>
      </c>
      <c r="CZ4" s="122" t="str">
        <f>INDEX('NM O&amp;G Production'!$O$3:$O$537,MATCH(CY4,'NM O&amp;G Production'!$P$3:$P$537,0))</f>
        <v>No</v>
      </c>
      <c r="DA4" s="127">
        <f>INDEX('NM O&amp;G Production'!$K$3:$O$537,MATCH($CY4,'NM O&amp;G Production'!$P$3:$P$537,0),MATCH(DA$2,'NM O&amp;G Production'!$K$2:$O$2,0))</f>
        <v>0</v>
      </c>
      <c r="DB4" s="127">
        <f>INDEX('NM O&amp;G Production'!$K$3:$O$537,MATCH($CY4,'NM O&amp;G Production'!$P$3:$P$537,0),MATCH(DB$2,'NM O&amp;G Production'!$K$2:$O$2,0))</f>
        <v>0</v>
      </c>
      <c r="DC4" s="127"/>
      <c r="DD4" s="127">
        <f>INDEX('NM O&amp;G Production'!$K$3:$O$537,MATCH($CY4,'NM O&amp;G Production'!$P$3:$P$537,0),MATCH(DD$2,'NM O&amp;G Production'!$K$2:$O$2,0))</f>
        <v>0</v>
      </c>
      <c r="DE4" s="127">
        <f>INDEX('NM O&amp;G Production'!$K$3:$O$537,MATCH($CY4,'NM O&amp;G Production'!$P$3:$P$537,0),MATCH(DE$2,'NM O&amp;G Production'!$K$2:$O$2,0))</f>
        <v>0</v>
      </c>
      <c r="DF4" s="258" t="e">
        <f>CK4/(DB4+DA4)</f>
        <v>#DIV/0!</v>
      </c>
      <c r="DG4" s="57">
        <f>DD4*(12/18)*1.06*'Oil and Gas Prices'!$C$18</f>
        <v>0</v>
      </c>
      <c r="DH4" s="284">
        <f>DE4*(12/18)*'Oil and Gas Prices'!$C$4</f>
        <v>0</v>
      </c>
      <c r="DI4" s="284"/>
      <c r="DJ4" s="57" t="e">
        <f>(DG4+DH4)/(DA4+DB4)</f>
        <v>#DIV/0!</v>
      </c>
      <c r="DK4" s="18" t="e">
        <f>CK4/DI4</f>
        <v>#DIV/0!</v>
      </c>
      <c r="DL4" s="21"/>
      <c r="DM4" s="21"/>
      <c r="DN4" s="21"/>
      <c r="DO4" s="21"/>
      <c r="DP4" s="21"/>
      <c r="DQ4" s="21"/>
      <c r="DR4" s="21"/>
      <c r="DS4" s="21"/>
      <c r="DT4" s="21"/>
      <c r="DU4" s="21"/>
      <c r="DV4" s="21"/>
      <c r="DW4" s="21"/>
      <c r="DX4" s="21"/>
      <c r="DY4" s="21"/>
      <c r="DZ4" s="21"/>
      <c r="EA4" s="21"/>
      <c r="EB4" s="21"/>
      <c r="EC4" s="21"/>
      <c r="ED4" s="21"/>
      <c r="EE4" s="21"/>
      <c r="EF4" s="21"/>
      <c r="EG4" s="21"/>
      <c r="EH4" s="21"/>
      <c r="EI4" s="21"/>
      <c r="EJ4" s="21"/>
      <c r="EK4" s="21"/>
      <c r="EL4" s="21"/>
      <c r="EM4" s="21"/>
      <c r="EN4" s="21"/>
      <c r="EO4" s="21"/>
      <c r="EP4" s="21"/>
      <c r="EQ4" s="21"/>
      <c r="ER4" s="21"/>
      <c r="ES4" s="21"/>
      <c r="ET4" s="21"/>
      <c r="EU4" s="21"/>
      <c r="EV4" s="21"/>
      <c r="EW4" s="21"/>
      <c r="EX4" s="21"/>
      <c r="EY4" s="21"/>
      <c r="EZ4" s="21"/>
      <c r="FA4" s="21"/>
      <c r="FB4" s="21"/>
      <c r="FC4" s="21"/>
      <c r="FD4" s="21"/>
      <c r="FE4" s="21"/>
      <c r="FF4" s="21"/>
      <c r="FG4" s="21"/>
      <c r="FH4" s="21"/>
      <c r="FI4" s="21"/>
      <c r="FJ4" s="21"/>
      <c r="FK4" s="21"/>
      <c r="FL4" s="21"/>
      <c r="FM4" s="21"/>
      <c r="FN4" s="21"/>
      <c r="FO4" s="21"/>
      <c r="FP4" s="21"/>
      <c r="FQ4" s="21"/>
      <c r="FR4" s="21"/>
      <c r="FS4" s="21"/>
      <c r="FT4" s="21"/>
      <c r="FU4" s="21"/>
      <c r="FV4" s="21"/>
      <c r="FW4" s="21"/>
      <c r="FX4" s="21"/>
      <c r="FY4" s="21"/>
      <c r="FZ4" s="21"/>
      <c r="GA4" s="21"/>
      <c r="GB4" s="21"/>
      <c r="GC4" s="21"/>
      <c r="GD4" s="21"/>
      <c r="GE4" s="21"/>
      <c r="GF4" s="21"/>
      <c r="GG4" s="21"/>
      <c r="GH4" s="21"/>
      <c r="GI4" s="21"/>
      <c r="GJ4" s="21"/>
      <c r="GK4" s="21"/>
      <c r="GL4" s="21"/>
      <c r="GM4" s="21"/>
      <c r="GN4" s="21"/>
      <c r="GO4" s="21"/>
      <c r="GP4" s="21"/>
      <c r="GQ4" s="21"/>
      <c r="GR4" s="21"/>
      <c r="GS4" s="21"/>
      <c r="GT4" s="21"/>
      <c r="GU4" s="21"/>
      <c r="GV4" s="21"/>
      <c r="GW4" s="21"/>
      <c r="GX4" s="21"/>
      <c r="GY4" s="21"/>
      <c r="GZ4" s="21"/>
      <c r="HA4" s="21"/>
      <c r="HB4" s="21"/>
      <c r="HC4" s="21"/>
      <c r="HD4" s="21"/>
      <c r="HE4" s="21"/>
      <c r="HF4" s="21"/>
      <c r="HG4" s="21"/>
      <c r="HH4" s="21"/>
      <c r="HI4" s="21"/>
      <c r="HJ4" s="21"/>
      <c r="HK4" s="21"/>
      <c r="HL4" s="21"/>
      <c r="HM4" s="21"/>
      <c r="HN4" s="21"/>
      <c r="HO4" s="21"/>
      <c r="HP4" s="21"/>
      <c r="HQ4" s="21"/>
      <c r="HR4" s="21"/>
      <c r="HS4" s="21"/>
      <c r="HT4" s="21"/>
      <c r="HU4" s="21"/>
    </row>
    <row r="5" spans="1:229" s="231" customFormat="1" x14ac:dyDescent="0.25">
      <c r="A5" s="21" t="s">
        <v>375</v>
      </c>
      <c r="B5" s="21" t="s">
        <v>376</v>
      </c>
      <c r="C5" s="21" t="s">
        <v>377</v>
      </c>
      <c r="D5" s="21" t="s">
        <v>378</v>
      </c>
      <c r="E5" s="21" t="s">
        <v>80</v>
      </c>
      <c r="F5" t="s">
        <v>379</v>
      </c>
      <c r="G5" t="s">
        <v>62</v>
      </c>
      <c r="H5"/>
      <c r="I5">
        <v>45</v>
      </c>
      <c r="J5" t="s">
        <v>63</v>
      </c>
      <c r="K5" t="s">
        <v>4134</v>
      </c>
      <c r="L5" t="s">
        <v>3627</v>
      </c>
      <c r="M5">
        <v>8</v>
      </c>
      <c r="N5" t="s">
        <v>3639</v>
      </c>
      <c r="O5" s="21" t="s">
        <v>3640</v>
      </c>
      <c r="P5" s="21" t="s">
        <v>3641</v>
      </c>
      <c r="Q5" s="21" t="s">
        <v>3642</v>
      </c>
      <c r="R5" s="21" t="s">
        <v>112</v>
      </c>
      <c r="S5" s="21" t="s">
        <v>94</v>
      </c>
      <c r="T5" t="s">
        <v>3643</v>
      </c>
      <c r="U5" t="s">
        <v>62</v>
      </c>
      <c r="V5">
        <v>2813662000</v>
      </c>
      <c r="W5" s="23">
        <v>16946781179</v>
      </c>
      <c r="X5" s="21">
        <v>4</v>
      </c>
      <c r="Y5" s="31">
        <v>10300</v>
      </c>
      <c r="Z5">
        <v>1930</v>
      </c>
      <c r="AA5" s="21" t="s">
        <v>163</v>
      </c>
      <c r="AB5" t="s">
        <v>3644</v>
      </c>
      <c r="AC5" t="s">
        <v>133</v>
      </c>
      <c r="AD5" s="21" t="s">
        <v>99</v>
      </c>
      <c r="AE5">
        <v>1311</v>
      </c>
      <c r="AF5" t="s">
        <v>100</v>
      </c>
      <c r="AG5">
        <v>1321</v>
      </c>
      <c r="AH5" t="s">
        <v>3645</v>
      </c>
      <c r="AI5">
        <v>13110101</v>
      </c>
      <c r="AJ5" t="s">
        <v>102</v>
      </c>
      <c r="AK5">
        <v>13210000</v>
      </c>
      <c r="AL5" t="s">
        <v>3646</v>
      </c>
      <c r="AM5" s="21">
        <v>211120</v>
      </c>
      <c r="AN5" s="21" t="s">
        <v>104</v>
      </c>
      <c r="AO5" s="21">
        <v>211130</v>
      </c>
      <c r="AP5" s="21" t="s">
        <v>3647</v>
      </c>
      <c r="AQ5" s="21" t="s">
        <v>168</v>
      </c>
      <c r="AR5" t="s">
        <v>257</v>
      </c>
      <c r="AS5" t="s">
        <v>258</v>
      </c>
      <c r="AT5" t="s">
        <v>76</v>
      </c>
      <c r="AU5"/>
      <c r="AV5" t="s">
        <v>259</v>
      </c>
      <c r="AW5" t="s">
        <v>260</v>
      </c>
      <c r="AX5" t="s">
        <v>261</v>
      </c>
      <c r="AY5" t="s">
        <v>262</v>
      </c>
      <c r="AZ5" t="s">
        <v>62</v>
      </c>
      <c r="BA5" t="s">
        <v>397</v>
      </c>
      <c r="BB5"/>
      <c r="BC5" t="s">
        <v>398</v>
      </c>
      <c r="BD5" t="s">
        <v>262</v>
      </c>
      <c r="BE5" t="s">
        <v>259</v>
      </c>
      <c r="BF5">
        <v>5</v>
      </c>
      <c r="BG5" s="24">
        <v>4401</v>
      </c>
      <c r="BH5" s="24" t="s">
        <v>257</v>
      </c>
      <c r="BI5" s="24" t="s">
        <v>258</v>
      </c>
      <c r="BJ5" s="24" t="s">
        <v>3641</v>
      </c>
      <c r="BK5" s="24" t="s">
        <v>4143</v>
      </c>
      <c r="BL5" s="24" t="s">
        <v>4144</v>
      </c>
      <c r="BM5" s="24"/>
      <c r="BN5" s="24" t="s">
        <v>4145</v>
      </c>
      <c r="BO5" s="24" t="s">
        <v>259</v>
      </c>
      <c r="BP5" s="4">
        <v>2074964000</v>
      </c>
      <c r="BQ5" s="25">
        <v>278397000000</v>
      </c>
      <c r="BR5" s="24">
        <v>0</v>
      </c>
      <c r="BS5" s="26">
        <v>72500</v>
      </c>
      <c r="BT5" s="4">
        <v>1909</v>
      </c>
      <c r="BU5" s="24" t="s">
        <v>163</v>
      </c>
      <c r="BV5" s="4" t="s">
        <v>4146</v>
      </c>
      <c r="BW5" s="4" t="s">
        <v>1234</v>
      </c>
      <c r="BX5" s="24" t="s">
        <v>1408</v>
      </c>
      <c r="BY5" s="4">
        <v>6719</v>
      </c>
      <c r="BZ5" s="4" t="s">
        <v>1409</v>
      </c>
      <c r="CA5" s="4"/>
      <c r="CB5" s="4"/>
      <c r="CC5" s="4">
        <v>67190000</v>
      </c>
      <c r="CD5" s="4" t="s">
        <v>1410</v>
      </c>
      <c r="CE5" s="4"/>
      <c r="CF5" s="4"/>
      <c r="CG5" s="24">
        <v>551112</v>
      </c>
      <c r="CH5" s="24" t="s">
        <v>1411</v>
      </c>
      <c r="CI5" s="24"/>
      <c r="CJ5" s="24"/>
      <c r="CK5" s="19">
        <f>IF(BQ5&gt;0,BQ5,W5)</f>
        <v>278397000000</v>
      </c>
      <c r="CL5" s="20">
        <f>IF(BS5&gt;0,BS5,Y5)</f>
        <v>72500</v>
      </c>
      <c r="CM5" s="34">
        <f>IF(CG5&gt;0,CG5,AM5)</f>
        <v>551112</v>
      </c>
      <c r="CN5" s="80">
        <f>IF($BH5="",1,COUNTIF($BH$3:$BH5,$BH5))</f>
        <v>3</v>
      </c>
      <c r="CO5" s="33" t="s">
        <v>4386</v>
      </c>
      <c r="CP5" t="str">
        <f>IF($K5="Standard Match","Match",IF($K5="Name Only Match",IF($CO5="Yes","Match","Name Only Match"),"No Match"))</f>
        <v>Match</v>
      </c>
      <c r="CQ5" s="35" t="str">
        <f>IF(AND(CP5="Match",CK5&gt;0,CL5&gt;0),"Y","N")</f>
        <v>Y</v>
      </c>
      <c r="CR5" s="21"/>
      <c r="CS5" t="str">
        <f>IF($CQ5="Y",VLOOKUP($CM5,'SBA Size Standards'!$B$3:$G$57,MATCH('SBA Size Standards'!$G$3,'SBA Size Standards'!$B$3:$G$3,0),FALSE),"")</f>
        <v>Revenue</v>
      </c>
      <c r="CT5" s="60">
        <f>IF(CQ5="Y",IF($CS5="Employment","N/A",VLOOKUP($CM5,'SBA Size Standards'!$B$3:$G$57,MATCH('SBA Size Standards'!$E$3,'SBA Size Standards'!$B$3:$G$3,0),FALSE)),"")</f>
        <v>22000000</v>
      </c>
      <c r="CU5" s="86" t="str">
        <f>IF($CQ5="Y",IF($CS5="Revenue","N/A",VLOOKUP($CM5,'SBA Size Standards'!$B$3:$G$57,MATCH('SBA Size Standards'!$F$3,'SBA Size Standards'!$B$3:$G$3,0),FALSE)),"")</f>
        <v>N/A</v>
      </c>
      <c r="CV5" t="str">
        <f>IF($CQ5="Y",IF(OR(AND($CS5="Employment",$CL5&lt;$CU5),AND($CS5="Revenue",$CK5&lt;$CT5)),"YES","NO"),"")</f>
        <v>NO</v>
      </c>
      <c r="CW5" s="90" t="str">
        <f>IF($CQ5="Y",INDEX('SBA Size Standards'!$N$3:$N$12,MATCH($CK5,'SBA Size Standards'!$O$3:$O$12,1)),"")</f>
        <v>&gt;$125,000,000,000</v>
      </c>
      <c r="CX5" s="122" t="s">
        <v>4940</v>
      </c>
      <c r="CY5" s="122">
        <f>INDEX('NM O&amp;G Production'!$P$3:$P$537,MATCH(CX5,'NM O&amp;G Production'!$Q$3:$Q$537,0))</f>
        <v>45</v>
      </c>
      <c r="CZ5" s="122" t="str">
        <f>INDEX('NM O&amp;G Production'!$O$3:$O$537,MATCH(CY5,'NM O&amp;G Production'!$P$3:$P$537,0))</f>
        <v>No</v>
      </c>
      <c r="DA5" s="127">
        <f>INDEX('NM O&amp;G Production'!$K$3:$O$537,MATCH($CY5,'NM O&amp;G Production'!$P$3:$P$537,0),MATCH(DA$2,'NM O&amp;G Production'!$K$2:$O$2,0))</f>
        <v>0</v>
      </c>
      <c r="DB5" s="127">
        <f>INDEX('NM O&amp;G Production'!$K$3:$O$537,MATCH($CY5,'NM O&amp;G Production'!$P$3:$P$537,0),MATCH(DB$2,'NM O&amp;G Production'!$K$2:$O$2,0))</f>
        <v>0</v>
      </c>
      <c r="DC5" s="127"/>
      <c r="DD5" s="127">
        <f>INDEX('NM O&amp;G Production'!$K$3:$O$537,MATCH($CY5,'NM O&amp;G Production'!$P$3:$P$537,0),MATCH(DD$2,'NM O&amp;G Production'!$K$2:$O$2,0))</f>
        <v>0</v>
      </c>
      <c r="DE5" s="127">
        <f>INDEX('NM O&amp;G Production'!$K$3:$O$537,MATCH($CY5,'NM O&amp;G Production'!$P$3:$P$537,0),MATCH(DE$2,'NM O&amp;G Production'!$K$2:$O$2,0))</f>
        <v>0</v>
      </c>
      <c r="DF5" s="258" t="e">
        <f>CK5/(DB5+DA5)</f>
        <v>#DIV/0!</v>
      </c>
      <c r="DG5" s="57">
        <f>DD5*(12/18)*1.06*'Oil and Gas Prices'!$C$18</f>
        <v>0</v>
      </c>
      <c r="DH5" s="284">
        <f>DE5*(12/18)*'Oil and Gas Prices'!$C$4</f>
        <v>0</v>
      </c>
      <c r="DI5" s="284"/>
      <c r="DJ5" s="57" t="e">
        <f>(DG5+DH5)/(DA5+DB5)</f>
        <v>#DIV/0!</v>
      </c>
      <c r="DK5" s="18" t="e">
        <f>CK5/DI5</f>
        <v>#DIV/0!</v>
      </c>
      <c r="DL5" s="21"/>
      <c r="DM5" s="21"/>
      <c r="DN5" s="21"/>
      <c r="DO5" s="21"/>
      <c r="DP5" s="21"/>
      <c r="DQ5" s="21"/>
      <c r="DR5" s="21"/>
      <c r="DS5" s="21"/>
      <c r="DT5" s="21"/>
      <c r="DU5" s="21"/>
      <c r="DV5" s="21"/>
      <c r="DW5" s="21"/>
      <c r="DX5" s="21"/>
      <c r="DY5" s="21"/>
      <c r="DZ5" s="21"/>
      <c r="EA5" s="21"/>
      <c r="EB5" s="21"/>
      <c r="EC5" s="21"/>
      <c r="ED5" s="21"/>
      <c r="EE5" s="21"/>
      <c r="EF5" s="21"/>
      <c r="EG5" s="21"/>
      <c r="EH5" s="21"/>
      <c r="EI5" s="21"/>
      <c r="EJ5" s="21"/>
      <c r="EK5" s="21"/>
      <c r="EL5" s="21"/>
      <c r="EM5" s="21"/>
      <c r="EN5" s="21"/>
      <c r="EO5" s="21"/>
      <c r="EP5" s="21"/>
      <c r="EQ5" s="21"/>
      <c r="ER5" s="21"/>
      <c r="ES5" s="21"/>
      <c r="ET5" s="21"/>
      <c r="EU5" s="21"/>
      <c r="EV5" s="21"/>
      <c r="EW5" s="21"/>
      <c r="EX5" s="21"/>
      <c r="EY5" s="21"/>
      <c r="EZ5" s="21"/>
      <c r="FA5" s="21"/>
      <c r="FB5" s="21"/>
      <c r="FC5" s="21"/>
      <c r="FD5" s="21"/>
      <c r="FE5" s="21"/>
      <c r="FF5" s="21"/>
      <c r="FG5" s="21"/>
      <c r="FH5" s="21"/>
      <c r="FI5" s="21"/>
      <c r="FJ5" s="21"/>
      <c r="FK5" s="21"/>
      <c r="FL5" s="21"/>
      <c r="FM5" s="21"/>
      <c r="FN5" s="21"/>
      <c r="FO5" s="21"/>
      <c r="FP5" s="21"/>
      <c r="FQ5" s="21"/>
      <c r="FR5" s="21"/>
      <c r="FS5" s="21"/>
      <c r="FT5" s="21"/>
      <c r="FU5" s="21"/>
      <c r="FV5" s="21"/>
      <c r="FW5" s="21"/>
      <c r="FX5" s="21"/>
      <c r="FY5" s="21"/>
      <c r="FZ5" s="21"/>
      <c r="GA5" s="21"/>
      <c r="GB5" s="21"/>
      <c r="GC5" s="21"/>
      <c r="GD5" s="21"/>
      <c r="GE5" s="21"/>
      <c r="GF5" s="21"/>
      <c r="GG5" s="21"/>
      <c r="GH5" s="21"/>
      <c r="GI5" s="21"/>
      <c r="GJ5" s="21"/>
      <c r="GK5" s="21"/>
      <c r="GL5" s="21"/>
      <c r="GM5" s="21"/>
      <c r="GN5" s="21"/>
      <c r="GO5" s="21"/>
      <c r="GP5" s="21"/>
      <c r="GQ5" s="21"/>
      <c r="GR5" s="21"/>
      <c r="GS5" s="21"/>
      <c r="GT5" s="21"/>
      <c r="GU5" s="21"/>
      <c r="GV5" s="21"/>
      <c r="GW5" s="21"/>
      <c r="GX5" s="21"/>
      <c r="GY5" s="21"/>
      <c r="GZ5" s="21"/>
      <c r="HA5" s="21"/>
      <c r="HB5" s="21"/>
      <c r="HC5" s="21"/>
      <c r="HD5" s="21"/>
      <c r="HE5" s="21"/>
      <c r="HF5" s="21"/>
      <c r="HG5" s="21"/>
      <c r="HH5" s="21"/>
      <c r="HI5" s="21"/>
      <c r="HJ5" s="21"/>
      <c r="HK5" s="21"/>
      <c r="HL5" s="21"/>
      <c r="HM5" s="21"/>
      <c r="HN5" s="21"/>
      <c r="HO5" s="21"/>
    </row>
    <row r="6" spans="1:229" x14ac:dyDescent="0.25">
      <c r="A6" s="21" t="s">
        <v>380</v>
      </c>
      <c r="B6" s="21" t="s">
        <v>381</v>
      </c>
      <c r="C6" s="21"/>
      <c r="D6" s="21" t="s">
        <v>382</v>
      </c>
      <c r="E6" s="21" t="s">
        <v>61</v>
      </c>
      <c r="F6">
        <v>81301</v>
      </c>
      <c r="G6" t="s">
        <v>62</v>
      </c>
      <c r="I6">
        <v>46</v>
      </c>
      <c r="J6" t="s">
        <v>63</v>
      </c>
      <c r="K6" t="s">
        <v>4134</v>
      </c>
      <c r="L6" t="s">
        <v>3627</v>
      </c>
      <c r="M6">
        <v>8</v>
      </c>
      <c r="N6" t="s">
        <v>3639</v>
      </c>
      <c r="O6" s="21" t="s">
        <v>3640</v>
      </c>
      <c r="P6" s="21" t="s">
        <v>3641</v>
      </c>
      <c r="Q6" s="21" t="s">
        <v>3642</v>
      </c>
      <c r="R6" s="21" t="s">
        <v>112</v>
      </c>
      <c r="S6" s="21" t="s">
        <v>94</v>
      </c>
      <c r="T6" t="s">
        <v>3643</v>
      </c>
      <c r="U6" t="s">
        <v>62</v>
      </c>
      <c r="V6">
        <v>2813662000</v>
      </c>
      <c r="W6" s="23">
        <v>16946781179</v>
      </c>
      <c r="X6" s="21">
        <v>4</v>
      </c>
      <c r="Y6" s="31">
        <v>10300</v>
      </c>
      <c r="Z6">
        <v>1930</v>
      </c>
      <c r="AA6" s="21" t="s">
        <v>163</v>
      </c>
      <c r="AB6" t="s">
        <v>3644</v>
      </c>
      <c r="AC6" t="s">
        <v>133</v>
      </c>
      <c r="AD6" s="21" t="s">
        <v>99</v>
      </c>
      <c r="AE6">
        <v>1311</v>
      </c>
      <c r="AF6" t="s">
        <v>100</v>
      </c>
      <c r="AG6">
        <v>1321</v>
      </c>
      <c r="AH6" t="s">
        <v>3645</v>
      </c>
      <c r="AI6">
        <v>13110101</v>
      </c>
      <c r="AJ6" t="s">
        <v>102</v>
      </c>
      <c r="AK6">
        <v>13210000</v>
      </c>
      <c r="AL6" t="s">
        <v>3646</v>
      </c>
      <c r="AM6" s="21">
        <v>211120</v>
      </c>
      <c r="AN6" s="21" t="s">
        <v>104</v>
      </c>
      <c r="AO6" s="21">
        <v>211130</v>
      </c>
      <c r="AP6" s="21" t="s">
        <v>3647</v>
      </c>
      <c r="AQ6" s="21" t="s">
        <v>168</v>
      </c>
      <c r="AR6" t="s">
        <v>257</v>
      </c>
      <c r="AS6" t="s">
        <v>258</v>
      </c>
      <c r="AT6" t="s">
        <v>76</v>
      </c>
      <c r="AV6" t="s">
        <v>259</v>
      </c>
      <c r="AW6" t="s">
        <v>260</v>
      </c>
      <c r="AX6" t="s">
        <v>261</v>
      </c>
      <c r="AY6" t="s">
        <v>262</v>
      </c>
      <c r="AZ6" t="s">
        <v>62</v>
      </c>
      <c r="BA6" t="s">
        <v>397</v>
      </c>
      <c r="BC6" t="s">
        <v>398</v>
      </c>
      <c r="BD6" t="s">
        <v>262</v>
      </c>
      <c r="BE6" t="s">
        <v>259</v>
      </c>
      <c r="BF6">
        <v>5</v>
      </c>
      <c r="BG6" s="24">
        <v>4401</v>
      </c>
      <c r="BH6" s="24" t="s">
        <v>257</v>
      </c>
      <c r="BI6" s="24" t="s">
        <v>258</v>
      </c>
      <c r="BJ6" s="24" t="s">
        <v>3641</v>
      </c>
      <c r="BK6" s="24" t="s">
        <v>4143</v>
      </c>
      <c r="BL6" s="24" t="s">
        <v>4144</v>
      </c>
      <c r="BM6" s="24"/>
      <c r="BN6" s="24" t="s">
        <v>4145</v>
      </c>
      <c r="BO6" s="24" t="s">
        <v>259</v>
      </c>
      <c r="BP6" s="4">
        <v>2074964000</v>
      </c>
      <c r="BQ6" s="25">
        <v>278397000000</v>
      </c>
      <c r="BR6" s="24">
        <v>0</v>
      </c>
      <c r="BS6" s="26">
        <v>72500</v>
      </c>
      <c r="BT6" s="4">
        <v>1909</v>
      </c>
      <c r="BU6" s="24" t="s">
        <v>163</v>
      </c>
      <c r="BV6" s="4" t="s">
        <v>4146</v>
      </c>
      <c r="BW6" s="4" t="s">
        <v>1234</v>
      </c>
      <c r="BX6" s="24" t="s">
        <v>1408</v>
      </c>
      <c r="BY6" s="4">
        <v>6719</v>
      </c>
      <c r="BZ6" s="4" t="s">
        <v>1409</v>
      </c>
      <c r="CC6" s="4">
        <v>67190000</v>
      </c>
      <c r="CD6" s="4" t="s">
        <v>1410</v>
      </c>
      <c r="CG6" s="24">
        <v>551112</v>
      </c>
      <c r="CH6" s="24" t="s">
        <v>1411</v>
      </c>
      <c r="CI6" s="24"/>
      <c r="CJ6" s="24"/>
      <c r="CK6" s="19">
        <f>IF(BQ6&gt;0,BQ6,W6)</f>
        <v>278397000000</v>
      </c>
      <c r="CL6" s="20">
        <f>IF(BS6&gt;0,BS6,Y6)</f>
        <v>72500</v>
      </c>
      <c r="CM6" s="34">
        <f>IF(CG6&gt;0,CG6,AM6)</f>
        <v>551112</v>
      </c>
      <c r="CN6" s="80">
        <f>IF($BH6="",1,COUNTIF($BH$3:$BH6,$BH6))</f>
        <v>4</v>
      </c>
      <c r="CO6" s="33" t="s">
        <v>4386</v>
      </c>
      <c r="CP6" t="str">
        <f>IF($K6="Standard Match","Match",IF($K6="Name Only Match",IF($CO6="Yes","Match","Name Only Match"),"No Match"))</f>
        <v>Match</v>
      </c>
      <c r="CQ6" s="35" t="str">
        <f>IF(AND(CP6="Match",CK6&gt;0,CL6&gt;0),"Y","N")</f>
        <v>Y</v>
      </c>
      <c r="CR6" s="21"/>
      <c r="CS6" t="str">
        <f>IF($CQ6="Y",VLOOKUP($CM6,'SBA Size Standards'!$B$3:$G$57,MATCH('SBA Size Standards'!$G$3,'SBA Size Standards'!$B$3:$G$3,0),FALSE),"")</f>
        <v>Revenue</v>
      </c>
      <c r="CT6" s="60">
        <f>IF(CQ6="Y",IF($CS6="Employment","N/A",VLOOKUP($CM6,'SBA Size Standards'!$B$3:$G$57,MATCH('SBA Size Standards'!$E$3,'SBA Size Standards'!$B$3:$G$3,0),FALSE)),"")</f>
        <v>22000000</v>
      </c>
      <c r="CU6" s="86" t="str">
        <f>IF($CQ6="Y",IF($CS6="Revenue","N/A",VLOOKUP($CM6,'SBA Size Standards'!$B$3:$G$57,MATCH('SBA Size Standards'!$F$3,'SBA Size Standards'!$B$3:$G$3,0),FALSE)),"")</f>
        <v>N/A</v>
      </c>
      <c r="CV6" t="str">
        <f>IF($CQ6="Y",IF(OR(AND($CS6="Employment",$CL6&lt;$CU6),AND($CS6="Revenue",$CK6&lt;$CT6)),"YES","NO"),"")</f>
        <v>NO</v>
      </c>
      <c r="CW6" s="90" t="str">
        <f>IF($CQ6="Y",INDEX('SBA Size Standards'!$N$3:$N$12,MATCH($CK6,'SBA Size Standards'!$O$3:$O$12,1)),"")</f>
        <v>&gt;$125,000,000,000</v>
      </c>
      <c r="CX6" s="122" t="s">
        <v>4941</v>
      </c>
      <c r="CY6" s="122">
        <f>INDEX('NM O&amp;G Production'!$P$3:$P$537,MATCH(CX6,'NM O&amp;G Production'!$Q$3:$Q$537,0))</f>
        <v>46</v>
      </c>
      <c r="CZ6" s="122" t="str">
        <f>INDEX('NM O&amp;G Production'!$O$3:$O$537,MATCH(CY6,'NM O&amp;G Production'!$P$3:$P$537,0))</f>
        <v>Yes</v>
      </c>
      <c r="DA6" s="127">
        <f>INDEX('NM O&amp;G Production'!$K$3:$O$537,MATCH($CY6,'NM O&amp;G Production'!$P$3:$P$537,0),MATCH(DA$2,'NM O&amp;G Production'!$K$2:$O$2,0))</f>
        <v>64</v>
      </c>
      <c r="DB6" s="127">
        <f>INDEX('NM O&amp;G Production'!$K$3:$O$537,MATCH($CY6,'NM O&amp;G Production'!$P$3:$P$537,0),MATCH(DB$2,'NM O&amp;G Production'!$K$2:$O$2,0))</f>
        <v>20</v>
      </c>
      <c r="DC6" s="127">
        <f>DA6+DB6</f>
        <v>84</v>
      </c>
      <c r="DD6" s="127">
        <f>INDEX('NM O&amp;G Production'!$K$3:$O$537,MATCH($CY6,'NM O&amp;G Production'!$P$3:$P$537,0),MATCH(DD$2,'NM O&amp;G Production'!$K$2:$O$2,0))</f>
        <v>4016686</v>
      </c>
      <c r="DE6" s="127">
        <f>INDEX('NM O&amp;G Production'!$K$3:$O$537,MATCH($CY6,'NM O&amp;G Production'!$P$3:$P$537,0),MATCH(DE$2,'NM O&amp;G Production'!$K$2:$O$2,0))</f>
        <v>6215</v>
      </c>
      <c r="DF6" s="258">
        <f>CK6/(DB6+DA6)</f>
        <v>3314250000</v>
      </c>
      <c r="DG6" s="57">
        <f>DD6*(12/18)*1.06*'Oil and Gas Prices'!$C$18</f>
        <v>6783914.8749333331</v>
      </c>
      <c r="DH6" s="284">
        <f>DE6*(12/18)*'Oil and Gas Prices'!$C$4</f>
        <v>186450</v>
      </c>
      <c r="DI6" s="284">
        <f>DG6+DH6</f>
        <v>6970364.8749333331</v>
      </c>
      <c r="DJ6" s="57">
        <f>(DG6+DH6)/(DA6+DB6)</f>
        <v>82980.534225396827</v>
      </c>
      <c r="DK6" s="318"/>
    </row>
    <row r="7" spans="1:229" x14ac:dyDescent="0.25">
      <c r="A7" t="s">
        <v>3593</v>
      </c>
      <c r="B7" t="s">
        <v>3594</v>
      </c>
      <c r="D7" t="s">
        <v>2834</v>
      </c>
      <c r="E7" t="s">
        <v>80</v>
      </c>
      <c r="F7">
        <v>77389</v>
      </c>
      <c r="G7" t="s">
        <v>62</v>
      </c>
      <c r="I7">
        <v>530</v>
      </c>
      <c r="J7" t="s">
        <v>63</v>
      </c>
      <c r="K7" t="s">
        <v>4133</v>
      </c>
      <c r="L7" t="s">
        <v>64</v>
      </c>
      <c r="M7">
        <v>10</v>
      </c>
      <c r="N7" t="s">
        <v>3595</v>
      </c>
      <c r="O7" t="s">
        <v>3596</v>
      </c>
      <c r="Q7" t="s">
        <v>3597</v>
      </c>
      <c r="R7" t="s">
        <v>2834</v>
      </c>
      <c r="S7" t="s">
        <v>94</v>
      </c>
      <c r="T7" t="s">
        <v>3598</v>
      </c>
      <c r="U7" t="s">
        <v>62</v>
      </c>
      <c r="V7">
        <v>8178702800</v>
      </c>
      <c r="W7" s="1">
        <v>7278734321</v>
      </c>
      <c r="X7">
        <v>300</v>
      </c>
      <c r="Y7" s="2">
        <v>3335</v>
      </c>
      <c r="Z7">
        <v>1990</v>
      </c>
      <c r="AA7" t="s">
        <v>163</v>
      </c>
      <c r="AB7" t="s">
        <v>3599</v>
      </c>
      <c r="AC7" t="s">
        <v>133</v>
      </c>
      <c r="AD7" t="s">
        <v>99</v>
      </c>
      <c r="AE7">
        <v>1311</v>
      </c>
      <c r="AF7" t="s">
        <v>100</v>
      </c>
      <c r="AI7">
        <v>13110101</v>
      </c>
      <c r="AJ7" t="s">
        <v>102</v>
      </c>
      <c r="AM7">
        <v>211120</v>
      </c>
      <c r="AN7" t="s">
        <v>104</v>
      </c>
      <c r="AQ7" t="s">
        <v>168</v>
      </c>
      <c r="AR7" t="s">
        <v>3600</v>
      </c>
      <c r="AS7" t="s">
        <v>3601</v>
      </c>
      <c r="AT7" t="s">
        <v>76</v>
      </c>
      <c r="AU7" t="s">
        <v>80</v>
      </c>
      <c r="AV7" t="s">
        <v>62</v>
      </c>
      <c r="AW7" t="s">
        <v>3600</v>
      </c>
      <c r="AX7" t="s">
        <v>3601</v>
      </c>
      <c r="AY7" t="s">
        <v>80</v>
      </c>
      <c r="AZ7" t="s">
        <v>62</v>
      </c>
      <c r="BA7" t="s">
        <v>3600</v>
      </c>
      <c r="BC7" t="s">
        <v>3601</v>
      </c>
      <c r="BD7" t="s">
        <v>80</v>
      </c>
      <c r="BE7" t="s">
        <v>62</v>
      </c>
      <c r="BF7">
        <v>2</v>
      </c>
      <c r="BG7">
        <v>2523</v>
      </c>
      <c r="BH7" s="4" t="s">
        <v>3600</v>
      </c>
      <c r="BI7" s="4" t="s">
        <v>3601</v>
      </c>
      <c r="BJ7" s="4" t="s">
        <v>4242</v>
      </c>
      <c r="BK7" s="4" t="s">
        <v>4243</v>
      </c>
      <c r="BL7" s="4" t="s">
        <v>1286</v>
      </c>
      <c r="BM7" s="4" t="s">
        <v>94</v>
      </c>
      <c r="BN7" s="4" t="s">
        <v>4244</v>
      </c>
      <c r="BO7" s="4" t="s">
        <v>62</v>
      </c>
      <c r="BP7" s="4">
        <v>9729406000</v>
      </c>
      <c r="BQ7" s="5">
        <v>181502000000</v>
      </c>
      <c r="BR7" s="4">
        <v>400</v>
      </c>
      <c r="BS7" s="6">
        <v>74900</v>
      </c>
      <c r="BT7" s="4">
        <v>1882</v>
      </c>
      <c r="BU7" s="4" t="s">
        <v>163</v>
      </c>
      <c r="BV7" s="4" t="s">
        <v>4245</v>
      </c>
      <c r="BW7" s="4" t="s">
        <v>165</v>
      </c>
      <c r="BX7" s="4" t="s">
        <v>1320</v>
      </c>
      <c r="BY7" s="4">
        <v>2911</v>
      </c>
      <c r="BZ7" s="4" t="s">
        <v>774</v>
      </c>
      <c r="CA7" s="4">
        <v>4612</v>
      </c>
      <c r="CB7" s="4" t="s">
        <v>1393</v>
      </c>
      <c r="CC7" s="4">
        <v>29110000</v>
      </c>
      <c r="CD7" s="4" t="s">
        <v>1320</v>
      </c>
      <c r="CE7" s="4">
        <v>46120000</v>
      </c>
      <c r="CF7" s="4" t="s">
        <v>1392</v>
      </c>
      <c r="CG7" s="4">
        <v>324110</v>
      </c>
      <c r="CH7" s="4" t="s">
        <v>776</v>
      </c>
      <c r="CI7" s="4">
        <v>486110</v>
      </c>
      <c r="CJ7" s="4" t="s">
        <v>1394</v>
      </c>
      <c r="CK7" s="19">
        <f>IF(BQ7&gt;0,BQ7,W7)</f>
        <v>181502000000</v>
      </c>
      <c r="CL7" s="20">
        <f>IF(BS7&gt;0,BS7,Y7)</f>
        <v>74900</v>
      </c>
      <c r="CM7" s="34">
        <f>IF(CG7&gt;0,CG7,AM7)</f>
        <v>324110</v>
      </c>
      <c r="CN7" s="80">
        <f>IF($BH7="",1,COUNTIF($BH$3:$BH7,$BH7))</f>
        <v>1</v>
      </c>
      <c r="CP7" t="str">
        <f>IF($K7="Standard Match","Match",IF($K7="Name Only Match",IF($CO7="Yes","Match","Name Only Match"),"No Match"))</f>
        <v>Match</v>
      </c>
      <c r="CQ7" s="35" t="str">
        <f>IF(AND(CP7="Match",CK7&gt;0,CL7&gt;0),"Y","N")</f>
        <v>Y</v>
      </c>
      <c r="CS7" t="str">
        <f>IF($CQ7="Y",VLOOKUP($CM7,'SBA Size Standards'!$B$3:$G$57,MATCH('SBA Size Standards'!$G$3,'SBA Size Standards'!$B$3:$G$3,0),FALSE),"")</f>
        <v>Employment</v>
      </c>
      <c r="CT7" s="60" t="str">
        <f>IF(CQ7="Y",IF($CS7="Employment","N/A",VLOOKUP($CM7,'SBA Size Standards'!$B$3:$G$57,MATCH('SBA Size Standards'!$E$3,'SBA Size Standards'!$B$3:$G$3,0),FALSE)),"")</f>
        <v>N/A</v>
      </c>
      <c r="CU7" s="86">
        <f>IF($CQ7="Y",IF($CS7="Revenue","N/A",VLOOKUP($CM7,'SBA Size Standards'!$B$3:$G$57,MATCH('SBA Size Standards'!$F$3,'SBA Size Standards'!$B$3:$G$3,0),FALSE)),"")</f>
        <v>1500</v>
      </c>
      <c r="CV7" t="str">
        <f>IF($CQ7="Y",IF(OR(AND($CS7="Employment",$CL7&lt;$CU7),AND($CS7="Revenue",$CK7&lt;$CT7)),"YES","NO"),"")</f>
        <v>NO</v>
      </c>
      <c r="CW7" s="90" t="str">
        <f>IF($CQ7="Y",INDEX('SBA Size Standards'!$N$3:$N$12,MATCH($CK7,'SBA Size Standards'!$O$3:$O$12,1)),"")</f>
        <v>&gt;$125,000,000,000</v>
      </c>
      <c r="CX7" s="122" t="s">
        <v>4788</v>
      </c>
      <c r="CY7" s="122">
        <f>INDEX('NM O&amp;G Production'!$P$3:$P$537,MATCH(CX7,'NM O&amp;G Production'!$Q$3:$Q$537,0))</f>
        <v>530</v>
      </c>
      <c r="CZ7" s="122" t="str">
        <f>INDEX('NM O&amp;G Production'!$O$3:$O$537,MATCH(CY7,'NM O&amp;G Production'!$P$3:$P$537,0))</f>
        <v>Yes</v>
      </c>
      <c r="DA7" s="127">
        <f>INDEX('NM O&amp;G Production'!$K$3:$O$537,MATCH($CY7,'NM O&amp;G Production'!$P$3:$P$537,0),MATCH(DA$2,'NM O&amp;G Production'!$K$2:$O$2,0))</f>
        <v>257</v>
      </c>
      <c r="DB7" s="127">
        <f>INDEX('NM O&amp;G Production'!$K$3:$O$537,MATCH($CY7,'NM O&amp;G Production'!$P$3:$P$537,0),MATCH(DB$2,'NM O&amp;G Production'!$K$2:$O$2,0))</f>
        <v>415</v>
      </c>
      <c r="DC7" s="127">
        <f>DA7+DB7</f>
        <v>672</v>
      </c>
      <c r="DD7" s="127">
        <f>INDEX('NM O&amp;G Production'!$K$3:$O$537,MATCH($CY7,'NM O&amp;G Production'!$P$3:$P$537,0),MATCH(DD$2,'NM O&amp;G Production'!$K$2:$O$2,0))</f>
        <v>62789915</v>
      </c>
      <c r="DE7" s="127">
        <f>INDEX('NM O&amp;G Production'!$K$3:$O$537,MATCH($CY7,'NM O&amp;G Production'!$P$3:$P$537,0),MATCH(DE$2,'NM O&amp;G Production'!$K$2:$O$2,0))</f>
        <v>18308687</v>
      </c>
      <c r="DF7" s="258">
        <f>CK7/(DB7+DA7)</f>
        <v>270092261.90476191</v>
      </c>
      <c r="DG7" s="57">
        <f>DD7*(12/18)*1.06*'Oil and Gas Prices'!$C$18</f>
        <v>106047980.44066666</v>
      </c>
      <c r="DH7" s="284">
        <f>DE7*(12/18)*'Oil and Gas Prices'!$C$4</f>
        <v>549260610</v>
      </c>
      <c r="DI7" s="284">
        <f>DG7+DH7</f>
        <v>655308590.44066668</v>
      </c>
      <c r="DJ7" s="57">
        <f>(DG7+DH7)/(DA7+DB7)</f>
        <v>975161.59291765874</v>
      </c>
      <c r="DK7" s="318"/>
      <c r="DL7" s="21"/>
      <c r="DM7" s="21"/>
      <c r="DN7" s="21"/>
      <c r="DO7" s="21"/>
      <c r="DP7" s="21"/>
      <c r="DQ7" s="21"/>
      <c r="DR7" s="21"/>
      <c r="DS7" s="21"/>
      <c r="DT7" s="21"/>
      <c r="DU7" s="21"/>
      <c r="DV7" s="21"/>
      <c r="DW7" s="21"/>
      <c r="DX7" s="21"/>
      <c r="DY7" s="21"/>
      <c r="DZ7" s="21"/>
      <c r="EA7" s="21"/>
      <c r="EB7" s="21"/>
      <c r="EC7" s="21"/>
      <c r="ED7" s="21"/>
      <c r="EE7" s="21"/>
      <c r="EF7" s="21"/>
      <c r="EG7" s="21"/>
      <c r="EH7" s="21"/>
      <c r="EI7" s="21"/>
      <c r="EJ7" s="21"/>
      <c r="EK7" s="21"/>
      <c r="EL7" s="21"/>
      <c r="EM7" s="21"/>
      <c r="EN7" s="21"/>
      <c r="EO7" s="21"/>
      <c r="EP7" s="21"/>
      <c r="EQ7" s="21"/>
      <c r="ER7" s="21"/>
      <c r="ES7" s="21"/>
      <c r="ET7" s="21"/>
      <c r="EU7" s="21"/>
      <c r="EV7" s="21"/>
      <c r="EW7" s="21"/>
      <c r="EX7" s="21"/>
      <c r="EY7" s="21"/>
      <c r="EZ7" s="21"/>
      <c r="FA7" s="21"/>
      <c r="FB7" s="21"/>
      <c r="FC7" s="21"/>
      <c r="FD7" s="21"/>
      <c r="FE7" s="21"/>
      <c r="FF7" s="21"/>
      <c r="FG7" s="21"/>
      <c r="FH7" s="21"/>
      <c r="FI7" s="21"/>
      <c r="FJ7" s="21"/>
      <c r="FK7" s="21"/>
      <c r="FL7" s="21"/>
      <c r="FM7" s="21"/>
      <c r="FN7" s="21"/>
      <c r="FO7" s="21"/>
      <c r="FP7" s="21"/>
      <c r="FQ7" s="21"/>
      <c r="FR7" s="21"/>
      <c r="FS7" s="21"/>
      <c r="FT7" s="21"/>
      <c r="FU7" s="21"/>
      <c r="FV7" s="21"/>
      <c r="FW7" s="21"/>
      <c r="FX7" s="21"/>
      <c r="FY7" s="21"/>
      <c r="FZ7" s="21"/>
      <c r="GA7" s="21"/>
      <c r="GB7" s="21"/>
      <c r="GC7" s="21"/>
      <c r="GD7" s="21"/>
      <c r="GE7" s="21"/>
      <c r="GF7" s="21"/>
      <c r="GG7" s="21"/>
      <c r="GH7" s="21"/>
      <c r="GI7" s="21"/>
      <c r="GJ7" s="21"/>
      <c r="GK7" s="21"/>
      <c r="GL7" s="21"/>
      <c r="GM7" s="21"/>
      <c r="GN7" s="21"/>
      <c r="GO7" s="21"/>
      <c r="GP7" s="21"/>
      <c r="GQ7" s="21"/>
      <c r="GR7" s="21"/>
      <c r="GS7" s="21"/>
      <c r="GT7" s="21"/>
      <c r="GU7" s="21"/>
      <c r="GV7" s="21"/>
      <c r="GW7" s="21"/>
      <c r="GX7" s="21"/>
      <c r="GY7" s="21"/>
      <c r="GZ7" s="21"/>
      <c r="HA7" s="21"/>
      <c r="HB7" s="21"/>
      <c r="HC7" s="21"/>
      <c r="HD7" s="21"/>
      <c r="HE7" s="21"/>
      <c r="HF7" s="21"/>
      <c r="HG7" s="21"/>
      <c r="HH7" s="21"/>
      <c r="HI7" s="21"/>
      <c r="HJ7" s="21"/>
      <c r="HK7" s="21"/>
      <c r="HL7" s="21"/>
      <c r="HM7" s="21"/>
      <c r="HN7" s="21"/>
      <c r="HO7" s="21"/>
      <c r="HP7" s="21"/>
      <c r="HQ7" s="21"/>
      <c r="HR7" s="21"/>
      <c r="HS7" s="21"/>
      <c r="HT7" s="21"/>
      <c r="HU7" s="21"/>
    </row>
    <row r="8" spans="1:229" x14ac:dyDescent="0.25">
      <c r="A8" t="s">
        <v>3542</v>
      </c>
      <c r="B8" t="s">
        <v>3543</v>
      </c>
      <c r="D8" t="s">
        <v>1035</v>
      </c>
      <c r="E8" t="s">
        <v>84</v>
      </c>
      <c r="F8">
        <v>87413</v>
      </c>
      <c r="G8" t="s">
        <v>62</v>
      </c>
      <c r="I8">
        <v>522</v>
      </c>
      <c r="J8" t="s">
        <v>63</v>
      </c>
      <c r="K8" t="s">
        <v>4133</v>
      </c>
      <c r="L8" t="s">
        <v>965</v>
      </c>
      <c r="M8">
        <v>8</v>
      </c>
      <c r="N8" t="s">
        <v>3544</v>
      </c>
      <c r="O8" t="s">
        <v>3545</v>
      </c>
      <c r="P8" t="s">
        <v>3546</v>
      </c>
      <c r="Q8" t="s">
        <v>3547</v>
      </c>
      <c r="R8" t="s">
        <v>1035</v>
      </c>
      <c r="S8" t="s">
        <v>214</v>
      </c>
      <c r="T8" t="s">
        <v>3548</v>
      </c>
      <c r="U8" t="s">
        <v>62</v>
      </c>
      <c r="V8">
        <v>5056328006</v>
      </c>
      <c r="X8">
        <v>45</v>
      </c>
      <c r="Y8">
        <v>0</v>
      </c>
      <c r="AA8" t="s">
        <v>96</v>
      </c>
      <c r="AB8" t="s">
        <v>3549</v>
      </c>
      <c r="AC8" t="s">
        <v>179</v>
      </c>
      <c r="AD8" t="s">
        <v>1320</v>
      </c>
      <c r="AE8">
        <v>2911</v>
      </c>
      <c r="AF8" t="s">
        <v>774</v>
      </c>
      <c r="AI8">
        <v>29110000</v>
      </c>
      <c r="AJ8" t="s">
        <v>1320</v>
      </c>
      <c r="AM8">
        <v>324110</v>
      </c>
      <c r="AN8" t="s">
        <v>776</v>
      </c>
      <c r="AQ8" t="s">
        <v>75</v>
      </c>
      <c r="AR8" t="s">
        <v>3550</v>
      </c>
      <c r="AS8" t="s">
        <v>3551</v>
      </c>
      <c r="AT8" t="s">
        <v>76</v>
      </c>
      <c r="AU8" t="s">
        <v>2074</v>
      </c>
      <c r="AV8" t="s">
        <v>62</v>
      </c>
      <c r="AW8" t="s">
        <v>3550</v>
      </c>
      <c r="AX8" t="s">
        <v>3551</v>
      </c>
      <c r="AY8" t="s">
        <v>2074</v>
      </c>
      <c r="AZ8" t="s">
        <v>62</v>
      </c>
      <c r="BB8" t="s">
        <v>3552</v>
      </c>
      <c r="BC8" t="s">
        <v>3545</v>
      </c>
      <c r="BD8" t="s">
        <v>3553</v>
      </c>
      <c r="BE8" t="s">
        <v>62</v>
      </c>
      <c r="BF8">
        <v>5</v>
      </c>
      <c r="BG8">
        <v>4258</v>
      </c>
      <c r="BH8" s="4" t="s">
        <v>3550</v>
      </c>
      <c r="BI8" s="4" t="s">
        <v>3551</v>
      </c>
      <c r="BJ8" s="4" t="s">
        <v>4300</v>
      </c>
      <c r="BK8" s="4" t="s">
        <v>4301</v>
      </c>
      <c r="BL8" s="4" t="s">
        <v>3535</v>
      </c>
      <c r="BM8" s="4" t="s">
        <v>3539</v>
      </c>
      <c r="BN8" s="4" t="s">
        <v>4302</v>
      </c>
      <c r="BO8" s="4" t="s">
        <v>62</v>
      </c>
      <c r="BP8" s="4">
        <v>4194222121</v>
      </c>
      <c r="BQ8" s="5">
        <v>124813000000</v>
      </c>
      <c r="BR8" s="4">
        <v>249</v>
      </c>
      <c r="BS8" s="6">
        <v>60910</v>
      </c>
      <c r="BT8" s="4">
        <v>1887</v>
      </c>
      <c r="BU8" s="4" t="s">
        <v>163</v>
      </c>
      <c r="BV8" s="4" t="s">
        <v>4303</v>
      </c>
      <c r="BW8" s="4" t="s">
        <v>98</v>
      </c>
      <c r="BX8" s="4" t="s">
        <v>1320</v>
      </c>
      <c r="BY8" s="4">
        <v>2911</v>
      </c>
      <c r="BZ8" s="4" t="s">
        <v>774</v>
      </c>
      <c r="CA8" s="4">
        <v>5172</v>
      </c>
      <c r="CB8" s="4" t="s">
        <v>826</v>
      </c>
      <c r="CC8" s="4">
        <v>29110000</v>
      </c>
      <c r="CD8" s="4" t="s">
        <v>1320</v>
      </c>
      <c r="CE8" s="4">
        <v>51720203</v>
      </c>
      <c r="CF8" s="4" t="s">
        <v>1569</v>
      </c>
      <c r="CG8" s="4">
        <v>324110</v>
      </c>
      <c r="CH8" s="4" t="s">
        <v>776</v>
      </c>
      <c r="CI8" s="4">
        <v>424720</v>
      </c>
      <c r="CJ8" s="4" t="s">
        <v>827</v>
      </c>
      <c r="CK8" s="19">
        <f>IF(BQ8&gt;0,BQ8,W8)</f>
        <v>124813000000</v>
      </c>
      <c r="CL8" s="20">
        <f>IF(BS8&gt;0,BS8,Y8)</f>
        <v>60910</v>
      </c>
      <c r="CM8" s="34">
        <f>IF(CG8&gt;0,CG8,AM8)</f>
        <v>324110</v>
      </c>
      <c r="CN8" s="80">
        <f>IF($BH8="",1,COUNTIF($BH$3:$BH8,$BH8))</f>
        <v>1</v>
      </c>
      <c r="CP8" t="str">
        <f>IF($K8="Standard Match","Match",IF($K8="Name Only Match",IF($CO8="Yes","Match","Name Only Match"),"No Match"))</f>
        <v>Match</v>
      </c>
      <c r="CQ8" s="35" t="str">
        <f>IF(AND(CP8="Match",CK8&gt;0,CL8&gt;0),"Y","N")</f>
        <v>Y</v>
      </c>
      <c r="CS8" t="str">
        <f>IF($CQ8="Y",VLOOKUP($CM8,'SBA Size Standards'!$B$3:$G$57,MATCH('SBA Size Standards'!$G$3,'SBA Size Standards'!$B$3:$G$3,0),FALSE),"")</f>
        <v>Employment</v>
      </c>
      <c r="CT8" s="60" t="str">
        <f>IF(CQ8="Y",IF($CS8="Employment","N/A",VLOOKUP($CM8,'SBA Size Standards'!$B$3:$G$57,MATCH('SBA Size Standards'!$E$3,'SBA Size Standards'!$B$3:$G$3,0),FALSE)),"")</f>
        <v>N/A</v>
      </c>
      <c r="CU8" s="86">
        <f>IF($CQ8="Y",IF($CS8="Revenue","N/A",VLOOKUP($CM8,'SBA Size Standards'!$B$3:$G$57,MATCH('SBA Size Standards'!$F$3,'SBA Size Standards'!$B$3:$G$3,0),FALSE)),"")</f>
        <v>1500</v>
      </c>
      <c r="CV8" t="str">
        <f>IF($CQ8="Y",IF(OR(AND($CS8="Employment",$CL8&lt;$CU8),AND($CS8="Revenue",$CK8&lt;$CT8)),"YES","NO"),"")</f>
        <v>NO</v>
      </c>
      <c r="CW8" s="90" t="str">
        <f>IF($CQ8="Y",INDEX('SBA Size Standards'!$N$3:$N$12,MATCH($CK8,'SBA Size Standards'!$O$3:$O$12,1)),"")</f>
        <v>$1,000,000,001 -$125,000,000,000</v>
      </c>
      <c r="CX8" s="122" t="s">
        <v>4924</v>
      </c>
      <c r="CY8" s="122">
        <f>INDEX('NM O&amp;G Production'!$P$3:$P$537,MATCH(CX8,'NM O&amp;G Production'!$Q$3:$Q$537,0))</f>
        <v>522</v>
      </c>
      <c r="CZ8" s="122" t="str">
        <f>INDEX('NM O&amp;G Production'!$O$3:$O$537,MATCH(CY8,'NM O&amp;G Production'!$P$3:$P$537,0))</f>
        <v>No</v>
      </c>
      <c r="DA8" s="127">
        <f>INDEX('NM O&amp;G Production'!$K$3:$O$537,MATCH($CY8,'NM O&amp;G Production'!$P$3:$P$537,0),MATCH(DA$2,'NM O&amp;G Production'!$K$2:$O$2,0))</f>
        <v>0</v>
      </c>
      <c r="DB8" s="127">
        <f>INDEX('NM O&amp;G Production'!$K$3:$O$537,MATCH($CY8,'NM O&amp;G Production'!$P$3:$P$537,0),MATCH(DB$2,'NM O&amp;G Production'!$K$2:$O$2,0))</f>
        <v>0</v>
      </c>
      <c r="DC8" s="127"/>
      <c r="DD8" s="127">
        <f>INDEX('NM O&amp;G Production'!$K$3:$O$537,MATCH($CY8,'NM O&amp;G Production'!$P$3:$P$537,0),MATCH(DD$2,'NM O&amp;G Production'!$K$2:$O$2,0))</f>
        <v>0</v>
      </c>
      <c r="DE8" s="127">
        <f>INDEX('NM O&amp;G Production'!$K$3:$O$537,MATCH($CY8,'NM O&amp;G Production'!$P$3:$P$537,0),MATCH(DE$2,'NM O&amp;G Production'!$K$2:$O$2,0))</f>
        <v>0</v>
      </c>
      <c r="DF8" s="258" t="e">
        <f>CK8/(DB8+DA8)</f>
        <v>#DIV/0!</v>
      </c>
      <c r="DG8" s="57">
        <f>DD8*(12/18)*1.06*'Oil and Gas Prices'!$C$18</f>
        <v>0</v>
      </c>
      <c r="DH8" s="284">
        <f>DE8*(12/18)*'Oil and Gas Prices'!$C$4</f>
        <v>0</v>
      </c>
      <c r="DI8" s="284"/>
      <c r="DJ8" s="57" t="e">
        <f>(DG8+DH8)/(DA8+DB8)</f>
        <v>#DIV/0!</v>
      </c>
      <c r="DK8" s="18" t="e">
        <f>CK8/DI8</f>
        <v>#DIV/0!</v>
      </c>
    </row>
    <row r="9" spans="1:229" s="231" customFormat="1" x14ac:dyDescent="0.25">
      <c r="A9" s="21" t="s">
        <v>2617</v>
      </c>
      <c r="B9" s="21" t="s">
        <v>2618</v>
      </c>
      <c r="C9" s="21" t="s">
        <v>2619</v>
      </c>
      <c r="D9" s="21" t="s">
        <v>2620</v>
      </c>
      <c r="E9" s="21" t="s">
        <v>84</v>
      </c>
      <c r="F9">
        <v>88256</v>
      </c>
      <c r="G9" t="s">
        <v>62</v>
      </c>
      <c r="H9"/>
      <c r="I9">
        <v>377</v>
      </c>
      <c r="J9" t="s">
        <v>63</v>
      </c>
      <c r="K9" t="s">
        <v>4134</v>
      </c>
      <c r="L9" t="s">
        <v>3627</v>
      </c>
      <c r="M9">
        <v>8</v>
      </c>
      <c r="N9" t="s">
        <v>3932</v>
      </c>
      <c r="O9" s="21" t="s">
        <v>3933</v>
      </c>
      <c r="P9" s="21"/>
      <c r="Q9" s="21" t="s">
        <v>3934</v>
      </c>
      <c r="R9" s="21" t="s">
        <v>3935</v>
      </c>
      <c r="S9" s="21" t="s">
        <v>3936</v>
      </c>
      <c r="T9" t="s">
        <v>3937</v>
      </c>
      <c r="U9" t="s">
        <v>62</v>
      </c>
      <c r="V9">
        <v>8003166660</v>
      </c>
      <c r="W9" s="23">
        <v>179408</v>
      </c>
      <c r="X9" s="21">
        <v>4</v>
      </c>
      <c r="Y9" s="21">
        <v>4</v>
      </c>
      <c r="Z9">
        <v>2013</v>
      </c>
      <c r="AA9" s="21" t="s">
        <v>70</v>
      </c>
      <c r="AB9" t="s">
        <v>3938</v>
      </c>
      <c r="AC9" t="s">
        <v>133</v>
      </c>
      <c r="AD9" s="21" t="s">
        <v>119</v>
      </c>
      <c r="AE9">
        <v>1382</v>
      </c>
      <c r="AF9" t="s">
        <v>120</v>
      </c>
      <c r="AG9"/>
      <c r="AH9"/>
      <c r="AI9">
        <v>13820000</v>
      </c>
      <c r="AJ9" t="s">
        <v>119</v>
      </c>
      <c r="AK9"/>
      <c r="AL9"/>
      <c r="AM9" s="21">
        <v>213112</v>
      </c>
      <c r="AN9" s="21" t="s">
        <v>74</v>
      </c>
      <c r="AO9" s="21"/>
      <c r="AP9" s="21"/>
      <c r="AQ9" s="21" t="s">
        <v>168</v>
      </c>
      <c r="AR9" t="s">
        <v>3550</v>
      </c>
      <c r="AS9" t="s">
        <v>3551</v>
      </c>
      <c r="AT9" t="s">
        <v>76</v>
      </c>
      <c r="AU9" t="s">
        <v>2074</v>
      </c>
      <c r="AV9" t="s">
        <v>62</v>
      </c>
      <c r="AW9" t="s">
        <v>3550</v>
      </c>
      <c r="AX9" t="s">
        <v>3551</v>
      </c>
      <c r="AY9" t="s">
        <v>2074</v>
      </c>
      <c r="AZ9" t="s">
        <v>62</v>
      </c>
      <c r="BA9" t="s">
        <v>3939</v>
      </c>
      <c r="BB9"/>
      <c r="BC9" t="s">
        <v>3940</v>
      </c>
      <c r="BD9" t="s">
        <v>80</v>
      </c>
      <c r="BE9" t="s">
        <v>62</v>
      </c>
      <c r="BF9">
        <v>5</v>
      </c>
      <c r="BG9" s="24">
        <v>4258</v>
      </c>
      <c r="BH9" s="24" t="s">
        <v>3550</v>
      </c>
      <c r="BI9" s="24" t="s">
        <v>3551</v>
      </c>
      <c r="BJ9" s="24" t="s">
        <v>4300</v>
      </c>
      <c r="BK9" s="24" t="s">
        <v>4301</v>
      </c>
      <c r="BL9" s="24" t="s">
        <v>3535</v>
      </c>
      <c r="BM9" s="24" t="s">
        <v>3539</v>
      </c>
      <c r="BN9" s="24" t="s">
        <v>4302</v>
      </c>
      <c r="BO9" s="24" t="s">
        <v>62</v>
      </c>
      <c r="BP9" s="4">
        <v>4194222121</v>
      </c>
      <c r="BQ9" s="25">
        <v>124813000000</v>
      </c>
      <c r="BR9" s="24">
        <v>249</v>
      </c>
      <c r="BS9" s="26">
        <v>60910</v>
      </c>
      <c r="BT9" s="4">
        <v>1887</v>
      </c>
      <c r="BU9" s="24" t="s">
        <v>163</v>
      </c>
      <c r="BV9" s="4" t="s">
        <v>4303</v>
      </c>
      <c r="BW9" s="4" t="s">
        <v>98</v>
      </c>
      <c r="BX9" s="24" t="s">
        <v>1320</v>
      </c>
      <c r="BY9" s="4">
        <v>2911</v>
      </c>
      <c r="BZ9" s="4" t="s">
        <v>774</v>
      </c>
      <c r="CA9" s="4">
        <v>5172</v>
      </c>
      <c r="CB9" s="4" t="s">
        <v>826</v>
      </c>
      <c r="CC9" s="4">
        <v>29110000</v>
      </c>
      <c r="CD9" s="4" t="s">
        <v>1320</v>
      </c>
      <c r="CE9" s="4">
        <v>51720203</v>
      </c>
      <c r="CF9" s="4" t="s">
        <v>1569</v>
      </c>
      <c r="CG9" s="24">
        <v>324110</v>
      </c>
      <c r="CH9" s="24" t="s">
        <v>776</v>
      </c>
      <c r="CI9" s="24">
        <v>424720</v>
      </c>
      <c r="CJ9" s="24" t="s">
        <v>827</v>
      </c>
      <c r="CK9" s="19">
        <f>IF(BQ9&gt;0,BQ9,W9)</f>
        <v>124813000000</v>
      </c>
      <c r="CL9" s="20">
        <f>IF(BS9&gt;0,BS9,Y9)</f>
        <v>60910</v>
      </c>
      <c r="CM9" s="34">
        <f>IF(CG9&gt;0,CG9,AM9)</f>
        <v>324110</v>
      </c>
      <c r="CN9" s="80">
        <f>IF($BH9="",1,COUNTIF($BH$3:$BH9,$BH9))</f>
        <v>2</v>
      </c>
      <c r="CO9" s="33" t="s">
        <v>4386</v>
      </c>
      <c r="CP9" t="str">
        <f>IF($K9="Standard Match","Match",IF($K9="Name Only Match",IF($CO9="Yes","Match","Name Only Match"),"No Match"))</f>
        <v>Match</v>
      </c>
      <c r="CQ9" s="35" t="str">
        <f>IF(AND(CP9="Match",CK9&gt;0,CL9&gt;0),"Y","N")</f>
        <v>Y</v>
      </c>
      <c r="CR9" s="21"/>
      <c r="CS9" t="str">
        <f>IF($CQ9="Y",VLOOKUP($CM9,'SBA Size Standards'!$B$3:$G$57,MATCH('SBA Size Standards'!$G$3,'SBA Size Standards'!$B$3:$G$3,0),FALSE),"")</f>
        <v>Employment</v>
      </c>
      <c r="CT9" s="60" t="str">
        <f>IF(CQ9="Y",IF($CS9="Employment","N/A",VLOOKUP($CM9,'SBA Size Standards'!$B$3:$G$57,MATCH('SBA Size Standards'!$E$3,'SBA Size Standards'!$B$3:$G$3,0),FALSE)),"")</f>
        <v>N/A</v>
      </c>
      <c r="CU9" s="86">
        <f>IF($CQ9="Y",IF($CS9="Revenue","N/A",VLOOKUP($CM9,'SBA Size Standards'!$B$3:$G$57,MATCH('SBA Size Standards'!$F$3,'SBA Size Standards'!$B$3:$G$3,0),FALSE)),"")</f>
        <v>1500</v>
      </c>
      <c r="CV9" t="str">
        <f>IF($CQ9="Y",IF(OR(AND($CS9="Employment",$CL9&lt;$CU9),AND($CS9="Revenue",$CK9&lt;$CT9)),"YES","NO"),"")</f>
        <v>NO</v>
      </c>
      <c r="CW9" s="90" t="str">
        <f>IF($CQ9="Y",INDEX('SBA Size Standards'!$N$3:$N$12,MATCH($CK9,'SBA Size Standards'!$O$3:$O$12,1)),"")</f>
        <v>$1,000,000,001 -$125,000,000,000</v>
      </c>
      <c r="CX9" s="122" t="s">
        <v>4987</v>
      </c>
      <c r="CY9" s="122">
        <f>INDEX('NM O&amp;G Production'!$P$3:$P$537,MATCH(CX9,'NM O&amp;G Production'!$Q$3:$Q$537,0))</f>
        <v>377</v>
      </c>
      <c r="CZ9" s="122" t="str">
        <f>INDEX('NM O&amp;G Production'!$O$3:$O$537,MATCH(CY9,'NM O&amp;G Production'!$P$3:$P$537,0))</f>
        <v>No</v>
      </c>
      <c r="DA9" s="127">
        <f>INDEX('NM O&amp;G Production'!$K$3:$O$537,MATCH($CY9,'NM O&amp;G Production'!$P$3:$P$537,0),MATCH(DA$2,'NM O&amp;G Production'!$K$2:$O$2,0))</f>
        <v>0</v>
      </c>
      <c r="DB9" s="127">
        <f>INDEX('NM O&amp;G Production'!$K$3:$O$537,MATCH($CY9,'NM O&amp;G Production'!$P$3:$P$537,0),MATCH(DB$2,'NM O&amp;G Production'!$K$2:$O$2,0))</f>
        <v>0</v>
      </c>
      <c r="DC9" s="127"/>
      <c r="DD9" s="127">
        <f>INDEX('NM O&amp;G Production'!$K$3:$O$537,MATCH($CY9,'NM O&amp;G Production'!$P$3:$P$537,0),MATCH(DD$2,'NM O&amp;G Production'!$K$2:$O$2,0))</f>
        <v>0</v>
      </c>
      <c r="DE9" s="127">
        <f>INDEX('NM O&amp;G Production'!$K$3:$O$537,MATCH($CY9,'NM O&amp;G Production'!$P$3:$P$537,0),MATCH(DE$2,'NM O&amp;G Production'!$K$2:$O$2,0))</f>
        <v>0</v>
      </c>
      <c r="DF9" s="258" t="e">
        <f>CK9/(DB9+DA9)</f>
        <v>#DIV/0!</v>
      </c>
      <c r="DG9" s="57">
        <f>DD9*(12/18)*1.06*'Oil and Gas Prices'!$C$18</f>
        <v>0</v>
      </c>
      <c r="DH9" s="284">
        <f>DE9*(12/18)*'Oil and Gas Prices'!$C$4</f>
        <v>0</v>
      </c>
      <c r="DI9" s="284"/>
      <c r="DJ9" s="57" t="e">
        <f>(DG9+DH9)/(DA9+DB9)</f>
        <v>#DIV/0!</v>
      </c>
      <c r="DK9" s="18" t="e">
        <f>CK9/DI9</f>
        <v>#DIV/0!</v>
      </c>
      <c r="DL9" s="21"/>
      <c r="DM9" s="21"/>
      <c r="DN9" s="21"/>
      <c r="DO9" s="21"/>
      <c r="DP9" s="21"/>
      <c r="DQ9" s="21"/>
      <c r="DR9" s="21"/>
      <c r="DS9" s="21"/>
      <c r="DT9" s="21"/>
      <c r="DU9" s="21"/>
      <c r="DV9" s="21"/>
      <c r="DW9" s="21"/>
      <c r="DX9" s="21"/>
      <c r="DY9" s="21"/>
      <c r="DZ9" s="21"/>
      <c r="EA9" s="21"/>
      <c r="EB9" s="21"/>
      <c r="EC9" s="21"/>
      <c r="ED9" s="21"/>
      <c r="EE9" s="21"/>
      <c r="EF9" s="21"/>
      <c r="EG9" s="21"/>
      <c r="EH9" s="21"/>
      <c r="EI9" s="21"/>
      <c r="EJ9" s="21"/>
      <c r="EK9" s="21"/>
      <c r="EL9" s="21"/>
      <c r="EM9" s="21"/>
      <c r="EN9" s="21"/>
      <c r="EO9" s="21"/>
      <c r="EP9" s="21"/>
      <c r="EQ9" s="21"/>
      <c r="ER9" s="21"/>
      <c r="ES9" s="21"/>
      <c r="ET9" s="21"/>
      <c r="EU9" s="21"/>
      <c r="EV9" s="21"/>
      <c r="EW9" s="21"/>
      <c r="EX9" s="21"/>
      <c r="EY9" s="21"/>
      <c r="EZ9" s="21"/>
      <c r="FA9" s="21"/>
      <c r="FB9" s="21"/>
      <c r="FC9" s="21"/>
      <c r="FD9" s="21"/>
      <c r="FE9" s="21"/>
      <c r="FF9" s="21"/>
      <c r="FG9" s="21"/>
      <c r="FH9" s="21"/>
      <c r="FI9" s="21"/>
      <c r="FJ9" s="21"/>
      <c r="FK9" s="21"/>
      <c r="FL9" s="21"/>
      <c r="FM9" s="21"/>
      <c r="FN9" s="21"/>
      <c r="FO9" s="21"/>
      <c r="FP9" s="21"/>
      <c r="FQ9" s="21"/>
      <c r="FR9" s="21"/>
      <c r="FS9" s="21"/>
      <c r="FT9" s="21"/>
      <c r="FU9" s="21"/>
      <c r="FV9" s="21"/>
      <c r="FW9" s="21"/>
      <c r="FX9" s="21"/>
      <c r="FY9" s="21"/>
      <c r="FZ9" s="21"/>
      <c r="GA9" s="21"/>
      <c r="GB9" s="21"/>
      <c r="GC9" s="21"/>
      <c r="GD9" s="21"/>
      <c r="GE9" s="21"/>
      <c r="GF9" s="21"/>
      <c r="GG9" s="21"/>
      <c r="GH9" s="21"/>
      <c r="GI9" s="21"/>
      <c r="GJ9" s="21"/>
      <c r="GK9" s="21"/>
      <c r="GL9" s="21"/>
      <c r="GM9" s="21"/>
      <c r="GN9" s="21"/>
      <c r="GO9" s="21"/>
      <c r="GP9" s="21"/>
      <c r="GQ9" s="21"/>
      <c r="GR9" s="21"/>
      <c r="GS9" s="21"/>
      <c r="GT9" s="21"/>
      <c r="GU9" s="21"/>
      <c r="GV9" s="21"/>
      <c r="GW9" s="21"/>
      <c r="GX9" s="21"/>
      <c r="GY9" s="21"/>
      <c r="GZ9" s="21"/>
      <c r="HA9" s="21"/>
      <c r="HB9" s="21"/>
      <c r="HC9" s="21"/>
      <c r="HD9" s="21"/>
      <c r="HE9" s="21"/>
      <c r="HF9" s="21"/>
      <c r="HG9" s="21"/>
      <c r="HH9" s="21"/>
      <c r="HI9" s="21"/>
      <c r="HJ9" s="21"/>
      <c r="HK9" s="21"/>
      <c r="HL9" s="21"/>
      <c r="HM9" s="21"/>
      <c r="HN9" s="21"/>
      <c r="HO9" s="21"/>
      <c r="HP9" s="21"/>
      <c r="HQ9" s="21"/>
      <c r="HR9" s="21"/>
      <c r="HS9" s="21"/>
      <c r="HT9" s="21"/>
      <c r="HU9" s="21"/>
    </row>
    <row r="10" spans="1:229" x14ac:dyDescent="0.25">
      <c r="A10" s="309" t="s">
        <v>621</v>
      </c>
      <c r="B10" s="309" t="s">
        <v>622</v>
      </c>
      <c r="C10" s="309"/>
      <c r="D10" s="309" t="s">
        <v>153</v>
      </c>
      <c r="E10" s="309" t="s">
        <v>80</v>
      </c>
      <c r="F10" s="309">
        <v>79706</v>
      </c>
      <c r="G10" s="309" t="s">
        <v>62</v>
      </c>
      <c r="H10" s="309"/>
      <c r="I10" s="309">
        <v>76</v>
      </c>
      <c r="J10" s="309" t="s">
        <v>89</v>
      </c>
      <c r="K10" s="309" t="s">
        <v>4133</v>
      </c>
      <c r="L10" s="309" t="s">
        <v>113</v>
      </c>
      <c r="M10" s="309">
        <v>8</v>
      </c>
      <c r="N10" s="309" t="s">
        <v>623</v>
      </c>
      <c r="O10" s="309" t="s">
        <v>624</v>
      </c>
      <c r="P10" s="309"/>
      <c r="Q10" s="309" t="s">
        <v>625</v>
      </c>
      <c r="R10" s="309" t="s">
        <v>153</v>
      </c>
      <c r="S10" s="309" t="s">
        <v>94</v>
      </c>
      <c r="T10" s="309" t="s">
        <v>626</v>
      </c>
      <c r="U10" s="309" t="s">
        <v>62</v>
      </c>
      <c r="V10" s="309">
        <v>4322892900</v>
      </c>
      <c r="W10" s="310">
        <v>170000</v>
      </c>
      <c r="X10" s="309">
        <v>3</v>
      </c>
      <c r="Y10" s="309">
        <v>3</v>
      </c>
      <c r="Z10" s="309">
        <v>2015</v>
      </c>
      <c r="AA10" s="309" t="s">
        <v>70</v>
      </c>
      <c r="AB10" s="309"/>
      <c r="AC10" s="309"/>
      <c r="AD10" s="309" t="s">
        <v>253</v>
      </c>
      <c r="AE10" s="309">
        <v>5541</v>
      </c>
      <c r="AF10" s="309" t="s">
        <v>254</v>
      </c>
      <c r="AG10" s="309"/>
      <c r="AH10" s="309"/>
      <c r="AI10" s="309">
        <v>55419901</v>
      </c>
      <c r="AJ10" s="309" t="s">
        <v>255</v>
      </c>
      <c r="AK10" s="309"/>
      <c r="AL10" s="309"/>
      <c r="AM10" s="309">
        <v>447190</v>
      </c>
      <c r="AN10" s="309" t="s">
        <v>256</v>
      </c>
      <c r="AO10" s="309"/>
      <c r="AP10" s="309"/>
      <c r="AQ10" s="309" t="s">
        <v>75</v>
      </c>
      <c r="AR10" s="309"/>
      <c r="AS10" s="309"/>
      <c r="AT10" s="309" t="s">
        <v>76</v>
      </c>
      <c r="AU10" s="309"/>
      <c r="AV10" s="309"/>
      <c r="AW10" s="309"/>
      <c r="AX10" s="309"/>
      <c r="AY10" s="309"/>
      <c r="AZ10" s="309"/>
      <c r="BA10" s="309"/>
      <c r="BB10" s="309"/>
      <c r="BC10" s="309"/>
      <c r="BD10" s="309"/>
      <c r="BE10" s="309"/>
      <c r="BF10" s="309">
        <v>0</v>
      </c>
      <c r="BG10" s="309">
        <v>0</v>
      </c>
      <c r="BH10" s="4" t="s">
        <v>3053</v>
      </c>
      <c r="BI10" s="4" t="s">
        <v>3054</v>
      </c>
      <c r="BJ10" s="4" t="s">
        <v>4211</v>
      </c>
      <c r="BK10" s="4" t="s">
        <v>4212</v>
      </c>
      <c r="BL10" s="4" t="s">
        <v>4213</v>
      </c>
      <c r="BM10" s="4" t="s">
        <v>3662</v>
      </c>
      <c r="BN10" s="4" t="s">
        <v>4214</v>
      </c>
      <c r="BO10" s="4" t="s">
        <v>62</v>
      </c>
      <c r="BP10" s="4">
        <v>9258421000</v>
      </c>
      <c r="BQ10" s="4">
        <v>94692000000</v>
      </c>
      <c r="BR10" s="4">
        <v>277</v>
      </c>
      <c r="BS10" s="4">
        <v>48200</v>
      </c>
      <c r="BT10" s="4">
        <v>1926</v>
      </c>
      <c r="BU10" s="4" t="s">
        <v>163</v>
      </c>
      <c r="BV10" s="4" t="s">
        <v>4215</v>
      </c>
      <c r="BW10" s="4" t="s">
        <v>165</v>
      </c>
      <c r="BX10" s="4" t="s">
        <v>774</v>
      </c>
      <c r="BY10" s="4">
        <v>2911</v>
      </c>
      <c r="BZ10" s="4" t="s">
        <v>774</v>
      </c>
      <c r="CA10" s="4">
        <v>1311</v>
      </c>
      <c r="CB10" s="4" t="s">
        <v>100</v>
      </c>
      <c r="CC10" s="4">
        <v>29110000</v>
      </c>
      <c r="CD10" s="4" t="s">
        <v>1320</v>
      </c>
      <c r="CE10" s="4">
        <v>13110101</v>
      </c>
      <c r="CF10" s="4" t="s">
        <v>102</v>
      </c>
      <c r="CG10" s="4">
        <v>324110</v>
      </c>
      <c r="CH10" s="4" t="s">
        <v>776</v>
      </c>
      <c r="CI10" s="4">
        <v>211120</v>
      </c>
      <c r="CJ10" s="4" t="s">
        <v>104</v>
      </c>
      <c r="CK10" s="19">
        <f>IF(BQ10&gt;0,BQ10,W10)</f>
        <v>94692000000</v>
      </c>
      <c r="CL10" s="20">
        <f>IF(BS10&gt;0,BS10,Y10)</f>
        <v>48200</v>
      </c>
      <c r="CM10" s="34">
        <f>IF(CG10&gt;0,CG10,AM10)</f>
        <v>324110</v>
      </c>
      <c r="CN10" s="80">
        <f>IF($BH10="",1,COUNTIF($BH$3:$BH10,$BH10))</f>
        <v>1</v>
      </c>
      <c r="CO10" s="309"/>
      <c r="CP10" s="309" t="str">
        <f>IF($K10="Standard Match","Match",IF($K10="Name Only Match",IF($CO10="Yes","Match","Name Only Match"),"No Match"))</f>
        <v>Match</v>
      </c>
      <c r="CQ10" s="311" t="str">
        <f>IF(AND(CP10="Match",CK10&gt;0,CL10&gt;0),"Y","N")</f>
        <v>Y</v>
      </c>
      <c r="CR10" s="309" t="s">
        <v>5199</v>
      </c>
      <c r="CS10" s="309" t="str">
        <f>IF($CQ10="Y",VLOOKUP($CM10,'SBA Size Standards'!$B$3:$G$57,MATCH('SBA Size Standards'!$G$3,'SBA Size Standards'!$B$3:$G$3,0),FALSE),"")</f>
        <v>Employment</v>
      </c>
      <c r="CT10" s="60" t="str">
        <f>IF(CQ10="Y",IF($CS10="Employment","N/A",VLOOKUP($CM10,'SBA Size Standards'!$B$3:$G$57,MATCH('SBA Size Standards'!$E$3,'SBA Size Standards'!$B$3:$G$3,0),FALSE)),"")</f>
        <v>N/A</v>
      </c>
      <c r="CU10" s="312">
        <f>IF($CQ10="Y",IF($CS10="Revenue","N/A",VLOOKUP($CM10,'SBA Size Standards'!$B$3:$G$57,MATCH('SBA Size Standards'!$F$3,'SBA Size Standards'!$B$3:$G$3,0),FALSE)),"")</f>
        <v>1500</v>
      </c>
      <c r="CV10" s="309" t="str">
        <f>IF($CQ10="Y",IF(OR(AND($CS10="Employment",$CL10&lt;$CU10),AND($CS10="Revenue",$CK10&lt;$CT10)),"YES","NO"),"")</f>
        <v>NO</v>
      </c>
      <c r="CW10" s="90" t="str">
        <f>IF($CQ10="Y",INDEX('SBA Size Standards'!$N$3:$N$12,MATCH($CK10,'SBA Size Standards'!$O$3:$O$12,1)),"")</f>
        <v>$1,000,000,001 -$125,000,000,000</v>
      </c>
      <c r="CX10" s="122" t="s">
        <v>4817</v>
      </c>
      <c r="CY10" s="122">
        <f>INDEX('NM O&amp;G Production'!$P$3:$P$537,MATCH(CX10,'NM O&amp;G Production'!$Q$3:$Q$537,0))</f>
        <v>76</v>
      </c>
      <c r="CZ10" s="122" t="str">
        <f>INDEX('NM O&amp;G Production'!$O$3:$O$537,MATCH(CY10,'NM O&amp;G Production'!$P$3:$P$537,0))</f>
        <v>Yes</v>
      </c>
      <c r="DA10" s="122">
        <f>INDEX('NM O&amp;G Production'!$K$3:$O$537,MATCH($CY10,'NM O&amp;G Production'!$P$3:$P$537,0),MATCH(DA$2,'NM O&amp;G Production'!$K$2:$O$2,0))</f>
        <v>489</v>
      </c>
      <c r="DB10" s="122">
        <f>INDEX('NM O&amp;G Production'!$K$3:$O$537,MATCH($CY10,'NM O&amp;G Production'!$P$3:$P$537,0),MATCH(DB$2,'NM O&amp;G Production'!$K$2:$O$2,0))</f>
        <v>852</v>
      </c>
      <c r="DC10" s="127">
        <f>DA10+DB10</f>
        <v>1341</v>
      </c>
      <c r="DD10" s="122">
        <f>INDEX('NM O&amp;G Production'!$K$3:$O$537,MATCH($CY10,'NM O&amp;G Production'!$P$3:$P$537,0),MATCH(DD$2,'NM O&amp;G Production'!$K$2:$O$2,0))</f>
        <v>122694187</v>
      </c>
      <c r="DE10" s="122">
        <f>INDEX('NM O&amp;G Production'!$K$3:$O$537,MATCH($CY10,'NM O&amp;G Production'!$P$3:$P$537,0),MATCH(DE$2,'NM O&amp;G Production'!$K$2:$O$2,0))</f>
        <v>15933919</v>
      </c>
      <c r="DF10" s="307">
        <f>CK10/(DB10+DA10)</f>
        <v>70612975.391498879</v>
      </c>
      <c r="DG10" s="308">
        <f>DD10*(12/18)*1.06*'Oil and Gas Prices'!$C$18</f>
        <v>207222302.23053333</v>
      </c>
      <c r="DH10" s="284">
        <f>DE10*(12/18)*'Oil and Gas Prices'!$C$4</f>
        <v>478017570</v>
      </c>
      <c r="DI10" s="284">
        <f>DG10+DH10</f>
        <v>685239872.23053336</v>
      </c>
      <c r="DJ10" s="308">
        <f>(DG10+DH10)/(DA10+DB10)</f>
        <v>510991.70188704948</v>
      </c>
      <c r="DK10" s="318"/>
      <c r="DL10" s="21"/>
      <c r="DM10" s="21"/>
      <c r="DN10" s="21"/>
      <c r="DO10" s="21"/>
      <c r="DP10" s="21"/>
      <c r="DQ10" s="21"/>
      <c r="DR10" s="21"/>
      <c r="DS10" s="21"/>
      <c r="DT10" s="21"/>
      <c r="DU10" s="21"/>
      <c r="DV10" s="21"/>
      <c r="DW10" s="21"/>
      <c r="DX10" s="21"/>
      <c r="DY10" s="21"/>
      <c r="DZ10" s="21"/>
      <c r="EA10" s="21"/>
      <c r="EB10" s="21"/>
      <c r="EC10" s="21"/>
      <c r="ED10" s="21"/>
      <c r="EE10" s="21"/>
      <c r="EF10" s="21"/>
      <c r="EG10" s="21"/>
      <c r="EH10" s="21"/>
      <c r="EI10" s="21"/>
      <c r="EJ10" s="21"/>
      <c r="EK10" s="21"/>
      <c r="EL10" s="21"/>
      <c r="EM10" s="21"/>
      <c r="EN10" s="21"/>
      <c r="EO10" s="21"/>
      <c r="EP10" s="21"/>
      <c r="EQ10" s="21"/>
      <c r="ER10" s="21"/>
      <c r="ES10" s="21"/>
      <c r="ET10" s="21"/>
      <c r="EU10" s="21"/>
      <c r="EV10" s="21"/>
      <c r="EW10" s="21"/>
      <c r="EX10" s="21"/>
      <c r="EY10" s="21"/>
      <c r="EZ10" s="21"/>
      <c r="FA10" s="21"/>
      <c r="FB10" s="21"/>
      <c r="FC10" s="21"/>
      <c r="FD10" s="21"/>
      <c r="FE10" s="21"/>
      <c r="FF10" s="21"/>
      <c r="FG10" s="21"/>
      <c r="FH10" s="21"/>
      <c r="FI10" s="21"/>
      <c r="FJ10" s="21"/>
      <c r="FK10" s="21"/>
      <c r="FL10" s="21"/>
      <c r="FM10" s="21"/>
      <c r="FN10" s="21"/>
      <c r="FO10" s="21"/>
      <c r="FP10" s="21"/>
      <c r="FQ10" s="21"/>
      <c r="FR10" s="21"/>
      <c r="FS10" s="21"/>
      <c r="FT10" s="21"/>
      <c r="FU10" s="21"/>
      <c r="FV10" s="21"/>
      <c r="FW10" s="21"/>
      <c r="FX10" s="21"/>
      <c r="FY10" s="21"/>
      <c r="FZ10" s="21"/>
      <c r="GA10" s="21"/>
      <c r="GB10" s="21"/>
      <c r="GC10" s="21"/>
      <c r="GD10" s="21"/>
      <c r="GE10" s="21"/>
      <c r="GF10" s="21"/>
      <c r="GG10" s="21"/>
      <c r="GH10" s="21"/>
      <c r="GI10" s="21"/>
      <c r="GJ10" s="21"/>
      <c r="GK10" s="21"/>
      <c r="GL10" s="21"/>
      <c r="GM10" s="21"/>
      <c r="GN10" s="21"/>
      <c r="GO10" s="21"/>
      <c r="GP10" s="21"/>
      <c r="GQ10" s="21"/>
      <c r="GR10" s="21"/>
      <c r="GS10" s="21"/>
      <c r="GT10" s="21"/>
      <c r="GU10" s="21"/>
      <c r="GV10" s="21"/>
      <c r="GW10" s="21"/>
      <c r="GX10" s="21"/>
      <c r="GY10" s="21"/>
      <c r="GZ10" s="21"/>
      <c r="HA10" s="21"/>
      <c r="HB10" s="21"/>
      <c r="HC10" s="21"/>
      <c r="HD10" s="21"/>
      <c r="HE10" s="21"/>
      <c r="HF10" s="21"/>
      <c r="HG10" s="21"/>
      <c r="HH10" s="21"/>
      <c r="HI10" s="21"/>
      <c r="HJ10" s="21"/>
      <c r="HK10" s="21"/>
      <c r="HL10" s="21"/>
      <c r="HM10" s="21"/>
      <c r="HN10" s="21"/>
      <c r="HO10" s="21"/>
      <c r="HP10" s="21"/>
      <c r="HQ10" s="21"/>
      <c r="HR10" s="21"/>
      <c r="HS10" s="21"/>
      <c r="HT10" s="21"/>
      <c r="HU10" s="21"/>
    </row>
    <row r="11" spans="1:229" x14ac:dyDescent="0.25">
      <c r="A11" t="s">
        <v>3044</v>
      </c>
      <c r="B11" t="s">
        <v>3045</v>
      </c>
      <c r="D11" t="s">
        <v>153</v>
      </c>
      <c r="E11" t="s">
        <v>80</v>
      </c>
      <c r="F11">
        <v>79710</v>
      </c>
      <c r="G11" t="s">
        <v>62</v>
      </c>
      <c r="I11">
        <v>445</v>
      </c>
      <c r="J11" t="s">
        <v>63</v>
      </c>
      <c r="K11" t="s">
        <v>4133</v>
      </c>
      <c r="L11" t="s">
        <v>149</v>
      </c>
      <c r="M11">
        <v>10</v>
      </c>
      <c r="N11" t="s">
        <v>3046</v>
      </c>
      <c r="O11" t="s">
        <v>3047</v>
      </c>
      <c r="Q11" t="s">
        <v>3048</v>
      </c>
      <c r="R11" t="s">
        <v>153</v>
      </c>
      <c r="S11" t="s">
        <v>94</v>
      </c>
      <c r="T11" t="s">
        <v>3049</v>
      </c>
      <c r="U11" t="s">
        <v>62</v>
      </c>
      <c r="V11">
        <v>4326883008</v>
      </c>
      <c r="W11" s="1">
        <v>79461000</v>
      </c>
      <c r="X11">
        <v>6</v>
      </c>
      <c r="Y11">
        <v>6</v>
      </c>
      <c r="Z11">
        <v>1983</v>
      </c>
      <c r="AA11" t="s">
        <v>163</v>
      </c>
      <c r="AB11" t="s">
        <v>3050</v>
      </c>
      <c r="AC11" t="s">
        <v>3051</v>
      </c>
      <c r="AD11" t="s">
        <v>99</v>
      </c>
      <c r="AE11">
        <v>1311</v>
      </c>
      <c r="AF11" t="s">
        <v>100</v>
      </c>
      <c r="AG11">
        <v>6211</v>
      </c>
      <c r="AH11" t="s">
        <v>101</v>
      </c>
      <c r="AI11">
        <v>13110101</v>
      </c>
      <c r="AJ11" t="s">
        <v>102</v>
      </c>
      <c r="AK11">
        <v>62110304</v>
      </c>
      <c r="AL11" t="s">
        <v>3052</v>
      </c>
      <c r="AM11">
        <v>211120</v>
      </c>
      <c r="AN11" t="s">
        <v>104</v>
      </c>
      <c r="AO11">
        <v>523999</v>
      </c>
      <c r="AP11" t="s">
        <v>105</v>
      </c>
      <c r="AQ11" t="s">
        <v>168</v>
      </c>
      <c r="AR11" t="s">
        <v>3053</v>
      </c>
      <c r="AS11" t="s">
        <v>3054</v>
      </c>
      <c r="AT11" t="s">
        <v>76</v>
      </c>
      <c r="AU11" t="s">
        <v>265</v>
      </c>
      <c r="AV11" t="s">
        <v>62</v>
      </c>
      <c r="AW11" t="s">
        <v>3053</v>
      </c>
      <c r="AX11" t="s">
        <v>3054</v>
      </c>
      <c r="AY11" t="s">
        <v>265</v>
      </c>
      <c r="AZ11" t="s">
        <v>62</v>
      </c>
      <c r="BA11" t="s">
        <v>3055</v>
      </c>
      <c r="BC11" t="s">
        <v>3056</v>
      </c>
      <c r="BD11" t="s">
        <v>80</v>
      </c>
      <c r="BE11" t="s">
        <v>62</v>
      </c>
      <c r="BF11">
        <v>5</v>
      </c>
      <c r="BG11">
        <v>2264</v>
      </c>
      <c r="BH11" s="4" t="s">
        <v>3053</v>
      </c>
      <c r="BI11" s="4" t="s">
        <v>3054</v>
      </c>
      <c r="BJ11" s="4" t="s">
        <v>4211</v>
      </c>
      <c r="BK11" s="4" t="s">
        <v>4212</v>
      </c>
      <c r="BL11" s="4" t="s">
        <v>4213</v>
      </c>
      <c r="BM11" s="4" t="s">
        <v>3662</v>
      </c>
      <c r="BN11" s="4" t="s">
        <v>4214</v>
      </c>
      <c r="BO11" s="4" t="s">
        <v>62</v>
      </c>
      <c r="BP11" s="4">
        <v>9258421000</v>
      </c>
      <c r="BQ11" s="5">
        <v>94692000000</v>
      </c>
      <c r="BR11" s="4">
        <v>277</v>
      </c>
      <c r="BS11" s="6">
        <v>48200</v>
      </c>
      <c r="BT11" s="4">
        <v>1926</v>
      </c>
      <c r="BU11" s="4" t="s">
        <v>163</v>
      </c>
      <c r="BV11" s="4" t="s">
        <v>4215</v>
      </c>
      <c r="BW11" s="4" t="s">
        <v>165</v>
      </c>
      <c r="BX11" s="4" t="s">
        <v>1320</v>
      </c>
      <c r="BY11" s="4">
        <v>2911</v>
      </c>
      <c r="BZ11" s="4" t="s">
        <v>774</v>
      </c>
      <c r="CA11" s="4">
        <v>1311</v>
      </c>
      <c r="CB11" s="4" t="s">
        <v>100</v>
      </c>
      <c r="CC11" s="4">
        <v>29110000</v>
      </c>
      <c r="CD11" s="4" t="s">
        <v>1320</v>
      </c>
      <c r="CE11" s="4">
        <v>13110101</v>
      </c>
      <c r="CF11" s="4" t="s">
        <v>102</v>
      </c>
      <c r="CG11" s="4">
        <v>324110</v>
      </c>
      <c r="CH11" s="4" t="s">
        <v>776</v>
      </c>
      <c r="CI11" s="4">
        <v>211120</v>
      </c>
      <c r="CJ11" s="4" t="s">
        <v>104</v>
      </c>
      <c r="CK11" s="19">
        <f>IF(BQ11&gt;0,BQ11,W11)</f>
        <v>94692000000</v>
      </c>
      <c r="CL11" s="20">
        <f>IF(BS11&gt;0,BS11,Y11)</f>
        <v>48200</v>
      </c>
      <c r="CM11" s="34">
        <f>IF(CG11&gt;0,CG11,AM11)</f>
        <v>324110</v>
      </c>
      <c r="CN11" s="80">
        <f>IF($BH11="",1,COUNTIF($BH$3:$BH11,$BH11))</f>
        <v>2</v>
      </c>
      <c r="CP11" t="str">
        <f>IF($K11="Standard Match","Match",IF($K11="Name Only Match",IF($CO11="Yes","Match","Name Only Match"),"No Match"))</f>
        <v>Match</v>
      </c>
      <c r="CQ11" s="35" t="str">
        <f>IF(AND(CP11="Match",CK11&gt;0,CL11&gt;0),"Y","N")</f>
        <v>Y</v>
      </c>
      <c r="CS11" t="str">
        <f>IF($CQ11="Y",VLOOKUP($CM11,'SBA Size Standards'!$B$3:$G$57,MATCH('SBA Size Standards'!$G$3,'SBA Size Standards'!$B$3:$G$3,0),FALSE),"")</f>
        <v>Employment</v>
      </c>
      <c r="CT11" s="60" t="str">
        <f>IF(CQ11="Y",IF($CS11="Employment","N/A",VLOOKUP($CM11,'SBA Size Standards'!$B$3:$G$57,MATCH('SBA Size Standards'!$E$3,'SBA Size Standards'!$B$3:$G$3,0),FALSE)),"")</f>
        <v>N/A</v>
      </c>
      <c r="CU11" s="86">
        <f>IF($CQ11="Y",IF($CS11="Revenue","N/A",VLOOKUP($CM11,'SBA Size Standards'!$B$3:$G$57,MATCH('SBA Size Standards'!$F$3,'SBA Size Standards'!$B$3:$G$3,0),FALSE)),"")</f>
        <v>1500</v>
      </c>
      <c r="CV11" t="str">
        <f>IF($CQ11="Y",IF(OR(AND($CS11="Employment",$CL11&lt;$CU11),AND($CS11="Revenue",$CK11&lt;$CT11)),"YES","NO"),"")</f>
        <v>NO</v>
      </c>
      <c r="CW11" s="90" t="str">
        <f>IF($CQ11="Y",INDEX('SBA Size Standards'!$N$3:$N$12,MATCH($CK11,'SBA Size Standards'!$O$3:$O$12,1)),"")</f>
        <v>$1,000,000,001 -$125,000,000,000</v>
      </c>
      <c r="CX11" s="122" t="s">
        <v>4751</v>
      </c>
      <c r="CY11" s="122">
        <f>INDEX('NM O&amp;G Production'!$P$3:$P$537,MATCH(CX11,'NM O&amp;G Production'!$Q$3:$Q$537,0))</f>
        <v>445</v>
      </c>
      <c r="CZ11" s="122" t="str">
        <f>INDEX('NM O&amp;G Production'!$O$3:$O$537,MATCH(CY11,'NM O&amp;G Production'!$P$3:$P$537,0))</f>
        <v>Yes</v>
      </c>
      <c r="DA11" s="127">
        <f>INDEX('NM O&amp;G Production'!$K$3:$O$537,MATCH($CY11,'NM O&amp;G Production'!$P$3:$P$537,0),MATCH(DA$2,'NM O&amp;G Production'!$K$2:$O$2,0))</f>
        <v>34</v>
      </c>
      <c r="DB11" s="127">
        <f>INDEX('NM O&amp;G Production'!$K$3:$O$537,MATCH($CY11,'NM O&amp;G Production'!$P$3:$P$537,0),MATCH(DB$2,'NM O&amp;G Production'!$K$2:$O$2,0))</f>
        <v>314</v>
      </c>
      <c r="DC11" s="127">
        <f>DA11+DB11</f>
        <v>348</v>
      </c>
      <c r="DD11" s="127">
        <f>INDEX('NM O&amp;G Production'!$K$3:$O$537,MATCH($CY11,'NM O&amp;G Production'!$P$3:$P$537,0),MATCH(DD$2,'NM O&amp;G Production'!$K$2:$O$2,0))</f>
        <v>3841838</v>
      </c>
      <c r="DE11" s="127">
        <f>INDEX('NM O&amp;G Production'!$K$3:$O$537,MATCH($CY11,'NM O&amp;G Production'!$P$3:$P$537,0),MATCH(DE$2,'NM O&amp;G Production'!$K$2:$O$2,0))</f>
        <v>372234</v>
      </c>
      <c r="DF11" s="258">
        <f>CK11/(DB11+DA11)</f>
        <v>272103448.2758621</v>
      </c>
      <c r="DG11" s="57">
        <f>DD11*(12/18)*1.06*'Oil and Gas Prices'!$C$18</f>
        <v>6488608.2594666667</v>
      </c>
      <c r="DH11" s="284">
        <f>DE11*(12/18)*'Oil and Gas Prices'!$C$4</f>
        <v>11167020</v>
      </c>
      <c r="DI11" s="284">
        <f>DG11+DH11</f>
        <v>17655628.259466667</v>
      </c>
      <c r="DJ11" s="57">
        <f>(DG11+DH11)/(DA11+DB11)</f>
        <v>50734.563963984678</v>
      </c>
      <c r="DK11" s="318"/>
    </row>
    <row r="12" spans="1:229" x14ac:dyDescent="0.25">
      <c r="A12" t="s">
        <v>1101</v>
      </c>
      <c r="B12" t="s">
        <v>1102</v>
      </c>
      <c r="D12" t="s">
        <v>378</v>
      </c>
      <c r="E12" t="s">
        <v>80</v>
      </c>
      <c r="F12">
        <v>75225</v>
      </c>
      <c r="G12" t="s">
        <v>62</v>
      </c>
      <c r="I12">
        <v>145</v>
      </c>
      <c r="J12" t="s">
        <v>63</v>
      </c>
      <c r="K12" t="s">
        <v>4133</v>
      </c>
      <c r="L12" t="s">
        <v>64</v>
      </c>
      <c r="M12">
        <v>10</v>
      </c>
      <c r="N12" t="s">
        <v>1103</v>
      </c>
      <c r="O12" t="s">
        <v>1104</v>
      </c>
      <c r="P12" t="s">
        <v>1105</v>
      </c>
      <c r="Q12" t="s">
        <v>1102</v>
      </c>
      <c r="R12" t="s">
        <v>378</v>
      </c>
      <c r="S12" t="s">
        <v>94</v>
      </c>
      <c r="T12" t="s">
        <v>1106</v>
      </c>
      <c r="U12" t="s">
        <v>62</v>
      </c>
      <c r="V12">
        <v>2149810700</v>
      </c>
      <c r="W12" s="1">
        <v>178997479</v>
      </c>
      <c r="X12">
        <v>162</v>
      </c>
      <c r="Y12">
        <v>266</v>
      </c>
      <c r="Z12">
        <v>1989</v>
      </c>
      <c r="AA12" t="s">
        <v>163</v>
      </c>
      <c r="AB12" t="s">
        <v>1107</v>
      </c>
      <c r="AC12" t="s">
        <v>242</v>
      </c>
      <c r="AD12" t="s">
        <v>1027</v>
      </c>
      <c r="AE12">
        <v>4922</v>
      </c>
      <c r="AF12" t="s">
        <v>1028</v>
      </c>
      <c r="AI12">
        <v>49229901</v>
      </c>
      <c r="AJ12" t="s">
        <v>1108</v>
      </c>
      <c r="AM12">
        <v>486210</v>
      </c>
      <c r="AN12" t="s">
        <v>1029</v>
      </c>
      <c r="AQ12" t="s">
        <v>168</v>
      </c>
      <c r="AR12" t="s">
        <v>1109</v>
      </c>
      <c r="AS12" t="s">
        <v>1110</v>
      </c>
      <c r="AT12" t="s">
        <v>76</v>
      </c>
      <c r="AU12" t="s">
        <v>80</v>
      </c>
      <c r="AV12" t="s">
        <v>62</v>
      </c>
      <c r="AW12" t="s">
        <v>1109</v>
      </c>
      <c r="AX12" t="s">
        <v>1110</v>
      </c>
      <c r="AY12" t="s">
        <v>80</v>
      </c>
      <c r="AZ12" t="s">
        <v>62</v>
      </c>
      <c r="BA12" t="s">
        <v>1111</v>
      </c>
      <c r="BC12" t="s">
        <v>1112</v>
      </c>
      <c r="BD12" t="s">
        <v>80</v>
      </c>
      <c r="BE12" t="s">
        <v>62</v>
      </c>
      <c r="BF12">
        <v>3</v>
      </c>
      <c r="BG12">
        <v>2217</v>
      </c>
      <c r="BH12" s="4" t="s">
        <v>1109</v>
      </c>
      <c r="BI12" s="4" t="s">
        <v>1110</v>
      </c>
      <c r="BJ12" s="4" t="s">
        <v>4170</v>
      </c>
      <c r="BK12" s="4" t="s">
        <v>1212</v>
      </c>
      <c r="BL12" s="4" t="s">
        <v>378</v>
      </c>
      <c r="BM12" s="4" t="s">
        <v>94</v>
      </c>
      <c r="BN12" s="4" t="s">
        <v>1213</v>
      </c>
      <c r="BO12" s="4" t="s">
        <v>62</v>
      </c>
      <c r="BP12" s="4">
        <v>2149810700</v>
      </c>
      <c r="BQ12" s="5">
        <v>38954000000</v>
      </c>
      <c r="BR12" s="4">
        <v>144</v>
      </c>
      <c r="BS12" s="6">
        <v>12812</v>
      </c>
      <c r="BT12" s="4">
        <v>1996</v>
      </c>
      <c r="BU12" s="4" t="s">
        <v>163</v>
      </c>
      <c r="BV12" s="4" t="s">
        <v>1107</v>
      </c>
      <c r="BW12" s="4" t="s">
        <v>165</v>
      </c>
      <c r="BX12" s="4" t="s">
        <v>1027</v>
      </c>
      <c r="BY12" s="4">
        <v>4922</v>
      </c>
      <c r="BZ12" s="4" t="s">
        <v>1028</v>
      </c>
      <c r="CA12" s="4">
        <v>4923</v>
      </c>
      <c r="CB12" s="4" t="s">
        <v>894</v>
      </c>
      <c r="CC12" s="4">
        <v>49229901</v>
      </c>
      <c r="CD12" s="4" t="s">
        <v>1108</v>
      </c>
      <c r="CE12" s="4">
        <v>49230000</v>
      </c>
      <c r="CF12" s="4" t="s">
        <v>896</v>
      </c>
      <c r="CG12" s="4">
        <v>486210</v>
      </c>
      <c r="CH12" s="4" t="s">
        <v>1029</v>
      </c>
      <c r="CI12" s="4">
        <v>221210</v>
      </c>
      <c r="CJ12" s="4" t="s">
        <v>166</v>
      </c>
      <c r="CK12" s="19">
        <f>IF(BQ12&gt;0,BQ12,W12)</f>
        <v>38954000000</v>
      </c>
      <c r="CL12" s="20">
        <f>IF(BS12&gt;0,BS12,Y12)</f>
        <v>12812</v>
      </c>
      <c r="CM12" s="34">
        <f>IF(CG12&gt;0,CG12,AM12)</f>
        <v>486210</v>
      </c>
      <c r="CN12" s="80">
        <f>IF($BH12="",1,COUNTIF($BH$3:$BH12,$BH12))</f>
        <v>1</v>
      </c>
      <c r="CP12" t="str">
        <f>IF($K12="Standard Match","Match",IF($K12="Name Only Match",IF($CO12="Yes","Match","Name Only Match"),"No Match"))</f>
        <v>Match</v>
      </c>
      <c r="CQ12" s="35" t="str">
        <f>IF(AND(CP12="Match",CK12&gt;0,CL12&gt;0),"Y","N")</f>
        <v>Y</v>
      </c>
      <c r="CS12" t="str">
        <f>IF($CQ12="Y",VLOOKUP($CM12,'SBA Size Standards'!$B$3:$G$57,MATCH('SBA Size Standards'!$G$3,'SBA Size Standards'!$B$3:$G$3,0),FALSE),"")</f>
        <v>Revenue</v>
      </c>
      <c r="CT12" s="60">
        <f>IF(CQ12="Y",IF($CS12="Employment","N/A",VLOOKUP($CM12,'SBA Size Standards'!$B$3:$G$57,MATCH('SBA Size Standards'!$E$3,'SBA Size Standards'!$B$3:$G$3,0),FALSE)),"")</f>
        <v>30000000</v>
      </c>
      <c r="CU12" s="86" t="str">
        <f>IF($CQ12="Y",IF($CS12="Revenue","N/A",VLOOKUP($CM12,'SBA Size Standards'!$B$3:$G$57,MATCH('SBA Size Standards'!$F$3,'SBA Size Standards'!$B$3:$G$3,0),FALSE)),"")</f>
        <v>N/A</v>
      </c>
      <c r="CV12" t="str">
        <f>IF($CQ12="Y",IF(OR(AND($CS12="Employment",$CL12&lt;$CU12),AND($CS12="Revenue",$CK12&lt;$CT12)),"YES","NO"),"")</f>
        <v>NO</v>
      </c>
      <c r="CW12" s="90" t="str">
        <f>IF($CQ12="Y",INDEX('SBA Size Standards'!$N$3:$N$12,MATCH($CK12,'SBA Size Standards'!$O$3:$O$12,1)),"")</f>
        <v>$1,000,000,001 -$125,000,000,000</v>
      </c>
      <c r="CX12" s="122" t="s">
        <v>4600</v>
      </c>
      <c r="CY12" s="122">
        <f>INDEX('NM O&amp;G Production'!$P$3:$P$537,MATCH(CX12,'NM O&amp;G Production'!$Q$3:$Q$537,0))</f>
        <v>145</v>
      </c>
      <c r="CZ12" s="122" t="str">
        <f>INDEX('NM O&amp;G Production'!$O$3:$O$537,MATCH(CY12,'NM O&amp;G Production'!$P$3:$P$537,0))</f>
        <v>No</v>
      </c>
      <c r="DA12" s="127">
        <f>INDEX('NM O&amp;G Production'!$K$3:$O$537,MATCH($CY12,'NM O&amp;G Production'!$P$3:$P$537,0),MATCH(DA$2,'NM O&amp;G Production'!$K$2:$O$2,0))</f>
        <v>0</v>
      </c>
      <c r="DB12" s="127">
        <f>INDEX('NM O&amp;G Production'!$K$3:$O$537,MATCH($CY12,'NM O&amp;G Production'!$P$3:$P$537,0),MATCH(DB$2,'NM O&amp;G Production'!$K$2:$O$2,0))</f>
        <v>0</v>
      </c>
      <c r="DC12" s="127"/>
      <c r="DD12" s="127">
        <f>INDEX('NM O&amp;G Production'!$K$3:$O$537,MATCH($CY12,'NM O&amp;G Production'!$P$3:$P$537,0),MATCH(DD$2,'NM O&amp;G Production'!$K$2:$O$2,0))</f>
        <v>0</v>
      </c>
      <c r="DE12" s="127">
        <f>INDEX('NM O&amp;G Production'!$K$3:$O$537,MATCH($CY12,'NM O&amp;G Production'!$P$3:$P$537,0),MATCH(DE$2,'NM O&amp;G Production'!$K$2:$O$2,0))</f>
        <v>0</v>
      </c>
      <c r="DF12" s="258" t="e">
        <f>CK12/(DB12+DA12)</f>
        <v>#DIV/0!</v>
      </c>
      <c r="DG12" s="57">
        <f>DD12*(12/18)*1.06*'Oil and Gas Prices'!$C$18</f>
        <v>0</v>
      </c>
      <c r="DH12" s="284">
        <f>DE12*(12/18)*'Oil and Gas Prices'!$C$4</f>
        <v>0</v>
      </c>
      <c r="DI12" s="284"/>
      <c r="DJ12" s="57" t="e">
        <f>(DG12+DH12)/(DA12+DB12)</f>
        <v>#DIV/0!</v>
      </c>
      <c r="DK12" s="18" t="e">
        <f>CK12/DI12</f>
        <v>#DIV/0!</v>
      </c>
    </row>
    <row r="13" spans="1:229" x14ac:dyDescent="0.25">
      <c r="A13" t="s">
        <v>3303</v>
      </c>
      <c r="B13" t="s">
        <v>3304</v>
      </c>
      <c r="D13" t="s">
        <v>209</v>
      </c>
      <c r="E13" t="s">
        <v>84</v>
      </c>
      <c r="F13">
        <v>88201</v>
      </c>
      <c r="G13" t="s">
        <v>62</v>
      </c>
      <c r="I13">
        <v>488</v>
      </c>
      <c r="J13" t="s">
        <v>63</v>
      </c>
      <c r="K13" t="s">
        <v>4133</v>
      </c>
      <c r="L13" t="s">
        <v>64</v>
      </c>
      <c r="M13">
        <v>10</v>
      </c>
      <c r="N13" t="s">
        <v>3305</v>
      </c>
      <c r="O13" t="s">
        <v>3303</v>
      </c>
      <c r="Q13" t="s">
        <v>3306</v>
      </c>
      <c r="R13" t="s">
        <v>209</v>
      </c>
      <c r="S13" t="s">
        <v>214</v>
      </c>
      <c r="T13" t="s">
        <v>3307</v>
      </c>
      <c r="U13" t="s">
        <v>62</v>
      </c>
      <c r="V13">
        <v>5756232761</v>
      </c>
      <c r="X13">
        <v>30</v>
      </c>
      <c r="Y13">
        <v>0</v>
      </c>
      <c r="AA13" t="s">
        <v>96</v>
      </c>
      <c r="AB13" t="s">
        <v>3308</v>
      </c>
      <c r="AC13" t="s">
        <v>231</v>
      </c>
      <c r="AD13" t="s">
        <v>1027</v>
      </c>
      <c r="AE13">
        <v>4922</v>
      </c>
      <c r="AF13" t="s">
        <v>1028</v>
      </c>
      <c r="AI13">
        <v>49229901</v>
      </c>
      <c r="AJ13" t="s">
        <v>1108</v>
      </c>
      <c r="AM13">
        <v>486210</v>
      </c>
      <c r="AN13" t="s">
        <v>1029</v>
      </c>
      <c r="AQ13" t="s">
        <v>75</v>
      </c>
      <c r="AR13" t="s">
        <v>1109</v>
      </c>
      <c r="AS13" t="s">
        <v>1110</v>
      </c>
      <c r="AT13" t="s">
        <v>76</v>
      </c>
      <c r="AU13" t="s">
        <v>80</v>
      </c>
      <c r="AV13" t="s">
        <v>62</v>
      </c>
      <c r="AW13" t="s">
        <v>1109</v>
      </c>
      <c r="AX13" t="s">
        <v>1110</v>
      </c>
      <c r="AY13" t="s">
        <v>80</v>
      </c>
      <c r="AZ13" t="s">
        <v>62</v>
      </c>
      <c r="BB13" t="s">
        <v>3309</v>
      </c>
      <c r="BC13" t="s">
        <v>3303</v>
      </c>
      <c r="BD13" t="s">
        <v>80</v>
      </c>
      <c r="BE13" t="s">
        <v>62</v>
      </c>
      <c r="BF13">
        <v>4</v>
      </c>
      <c r="BG13">
        <v>2217</v>
      </c>
      <c r="BH13" s="4" t="s">
        <v>1109</v>
      </c>
      <c r="BI13" s="4" t="s">
        <v>1110</v>
      </c>
      <c r="BJ13" s="4" t="s">
        <v>4170</v>
      </c>
      <c r="BK13" s="4" t="s">
        <v>1212</v>
      </c>
      <c r="BL13" s="4" t="s">
        <v>378</v>
      </c>
      <c r="BM13" s="4" t="s">
        <v>94</v>
      </c>
      <c r="BN13" s="4" t="s">
        <v>1213</v>
      </c>
      <c r="BO13" s="4" t="s">
        <v>62</v>
      </c>
      <c r="BP13" s="4">
        <v>2149810700</v>
      </c>
      <c r="BQ13" s="5">
        <v>38954000000</v>
      </c>
      <c r="BR13" s="4">
        <v>144</v>
      </c>
      <c r="BS13" s="6">
        <v>12812</v>
      </c>
      <c r="BT13" s="4">
        <v>1996</v>
      </c>
      <c r="BU13" s="4" t="s">
        <v>163</v>
      </c>
      <c r="BV13" s="4" t="s">
        <v>1107</v>
      </c>
      <c r="BW13" s="4" t="s">
        <v>165</v>
      </c>
      <c r="BX13" s="4" t="s">
        <v>1027</v>
      </c>
      <c r="BY13" s="4">
        <v>4922</v>
      </c>
      <c r="BZ13" s="4" t="s">
        <v>1028</v>
      </c>
      <c r="CA13" s="4">
        <v>4923</v>
      </c>
      <c r="CB13" s="4" t="s">
        <v>894</v>
      </c>
      <c r="CC13" s="4">
        <v>49229901</v>
      </c>
      <c r="CD13" s="4" t="s">
        <v>1108</v>
      </c>
      <c r="CE13" s="4">
        <v>49230000</v>
      </c>
      <c r="CF13" s="4" t="s">
        <v>896</v>
      </c>
      <c r="CG13" s="4">
        <v>486210</v>
      </c>
      <c r="CH13" s="4" t="s">
        <v>1029</v>
      </c>
      <c r="CI13" s="4">
        <v>221210</v>
      </c>
      <c r="CJ13" s="4" t="s">
        <v>166</v>
      </c>
      <c r="CK13" s="19">
        <f>IF(BQ13&gt;0,BQ13,W13)</f>
        <v>38954000000</v>
      </c>
      <c r="CL13" s="20">
        <f>IF(BS13&gt;0,BS13,Y13)</f>
        <v>12812</v>
      </c>
      <c r="CM13" s="34">
        <f>IF(CG13&gt;0,CG13,AM13)</f>
        <v>486210</v>
      </c>
      <c r="CN13" s="80">
        <f>IF($BH13="",1,COUNTIF($BH$3:$BH13,$BH13))</f>
        <v>2</v>
      </c>
      <c r="CP13" t="str">
        <f>IF($K13="Standard Match","Match",IF($K13="Name Only Match",IF($CO13="Yes","Match","Name Only Match"),"No Match"))</f>
        <v>Match</v>
      </c>
      <c r="CQ13" s="35" t="str">
        <f>IF(AND(CP13="Match",CK13&gt;0,CL13&gt;0),"Y","N")</f>
        <v>Y</v>
      </c>
      <c r="CS13" t="str">
        <f>IF($CQ13="Y",VLOOKUP($CM13,'SBA Size Standards'!$B$3:$G$57,MATCH('SBA Size Standards'!$G$3,'SBA Size Standards'!$B$3:$G$3,0),FALSE),"")</f>
        <v>Revenue</v>
      </c>
      <c r="CT13" s="60">
        <f>IF(CQ13="Y",IF($CS13="Employment","N/A",VLOOKUP($CM13,'SBA Size Standards'!$B$3:$G$57,MATCH('SBA Size Standards'!$E$3,'SBA Size Standards'!$B$3:$G$3,0),FALSE)),"")</f>
        <v>30000000</v>
      </c>
      <c r="CU13" s="86" t="str">
        <f>IF($CQ13="Y",IF($CS13="Revenue","N/A",VLOOKUP($CM13,'SBA Size Standards'!$B$3:$G$57,MATCH('SBA Size Standards'!$F$3,'SBA Size Standards'!$B$3:$G$3,0),FALSE)),"")</f>
        <v>N/A</v>
      </c>
      <c r="CV13" t="str">
        <f>IF($CQ13="Y",IF(OR(AND($CS13="Employment",$CL13&lt;$CU13),AND($CS13="Revenue",$CK13&lt;$CT13)),"YES","NO"),"")</f>
        <v>NO</v>
      </c>
      <c r="CW13" s="90" t="str">
        <f>IF($CQ13="Y",INDEX('SBA Size Standards'!$N$3:$N$12,MATCH($CK13,'SBA Size Standards'!$O$3:$O$12,1)),"")</f>
        <v>$1,000,000,001 -$125,000,000,000</v>
      </c>
      <c r="CX13" s="122" t="s">
        <v>4770</v>
      </c>
      <c r="CY13" s="122">
        <f>INDEX('NM O&amp;G Production'!$P$3:$P$537,MATCH(CX13,'NM O&amp;G Production'!$Q$3:$Q$537,0))</f>
        <v>488</v>
      </c>
      <c r="CZ13" s="122" t="str">
        <f>INDEX('NM O&amp;G Production'!$O$3:$O$537,MATCH(CY13,'NM O&amp;G Production'!$P$3:$P$537,0))</f>
        <v>No</v>
      </c>
      <c r="DA13" s="127">
        <f>INDEX('NM O&amp;G Production'!$K$3:$O$537,MATCH($CY13,'NM O&amp;G Production'!$P$3:$P$537,0),MATCH(DA$2,'NM O&amp;G Production'!$K$2:$O$2,0))</f>
        <v>0</v>
      </c>
      <c r="DB13" s="127">
        <f>INDEX('NM O&amp;G Production'!$K$3:$O$537,MATCH($CY13,'NM O&amp;G Production'!$P$3:$P$537,0),MATCH(DB$2,'NM O&amp;G Production'!$K$2:$O$2,0))</f>
        <v>0</v>
      </c>
      <c r="DC13" s="127"/>
      <c r="DD13" s="127">
        <f>INDEX('NM O&amp;G Production'!$K$3:$O$537,MATCH($CY13,'NM O&amp;G Production'!$P$3:$P$537,0),MATCH(DD$2,'NM O&amp;G Production'!$K$2:$O$2,0))</f>
        <v>0</v>
      </c>
      <c r="DE13" s="127">
        <f>INDEX('NM O&amp;G Production'!$K$3:$O$537,MATCH($CY13,'NM O&amp;G Production'!$P$3:$P$537,0),MATCH(DE$2,'NM O&amp;G Production'!$K$2:$O$2,0))</f>
        <v>0</v>
      </c>
      <c r="DF13" s="258" t="e">
        <f>CK13/(DB13+DA13)</f>
        <v>#DIV/0!</v>
      </c>
      <c r="DG13" s="57">
        <f>DD13*(12/18)*1.06*'Oil and Gas Prices'!$C$18</f>
        <v>0</v>
      </c>
      <c r="DH13" s="284">
        <f>DE13*(12/18)*'Oil and Gas Prices'!$C$4</f>
        <v>0</v>
      </c>
      <c r="DI13" s="284"/>
      <c r="DJ13" s="57" t="e">
        <f>(DG13+DH13)/(DA13+DB13)</f>
        <v>#DIV/0!</v>
      </c>
      <c r="DK13" s="18" t="e">
        <f>CK13/DI13</f>
        <v>#DIV/0!</v>
      </c>
    </row>
    <row r="14" spans="1:229" x14ac:dyDescent="0.25">
      <c r="A14" s="21" t="s">
        <v>1838</v>
      </c>
      <c r="B14" s="21" t="s">
        <v>1839</v>
      </c>
      <c r="C14" s="21"/>
      <c r="D14" s="21" t="s">
        <v>362</v>
      </c>
      <c r="E14" s="21" t="s">
        <v>61</v>
      </c>
      <c r="F14">
        <v>80112</v>
      </c>
      <c r="G14" t="s">
        <v>62</v>
      </c>
      <c r="I14">
        <v>252</v>
      </c>
      <c r="J14" t="s">
        <v>63</v>
      </c>
      <c r="K14" t="s">
        <v>4134</v>
      </c>
      <c r="L14" t="s">
        <v>3627</v>
      </c>
      <c r="M14">
        <v>8</v>
      </c>
      <c r="N14" t="s">
        <v>4064</v>
      </c>
      <c r="O14" s="21" t="s">
        <v>4065</v>
      </c>
      <c r="P14" s="21"/>
      <c r="Q14" s="21" t="s">
        <v>4066</v>
      </c>
      <c r="R14" s="21" t="s">
        <v>4067</v>
      </c>
      <c r="S14" s="21" t="s">
        <v>2381</v>
      </c>
      <c r="T14" t="s">
        <v>4068</v>
      </c>
      <c r="U14" t="s">
        <v>62</v>
      </c>
      <c r="V14">
        <v>3168285508</v>
      </c>
      <c r="W14" s="23">
        <v>1143863</v>
      </c>
      <c r="X14" s="21">
        <v>6</v>
      </c>
      <c r="Y14" s="21">
        <v>6</v>
      </c>
      <c r="Z14">
        <v>2001</v>
      </c>
      <c r="AA14" s="21" t="s">
        <v>163</v>
      </c>
      <c r="AB14" t="s">
        <v>4069</v>
      </c>
      <c r="AC14" t="s">
        <v>98</v>
      </c>
      <c r="AD14" s="21" t="s">
        <v>119</v>
      </c>
      <c r="AE14">
        <v>1382</v>
      </c>
      <c r="AF14" t="s">
        <v>120</v>
      </c>
      <c r="AI14">
        <v>13820000</v>
      </c>
      <c r="AJ14" t="s">
        <v>119</v>
      </c>
      <c r="AM14" s="21">
        <v>213112</v>
      </c>
      <c r="AN14" s="21" t="s">
        <v>74</v>
      </c>
      <c r="AO14" s="21"/>
      <c r="AP14" s="21"/>
      <c r="AQ14" s="21" t="s">
        <v>168</v>
      </c>
      <c r="AR14" t="s">
        <v>4070</v>
      </c>
      <c r="AS14" t="s">
        <v>4071</v>
      </c>
      <c r="AT14" t="s">
        <v>76</v>
      </c>
      <c r="AU14" t="s">
        <v>2377</v>
      </c>
      <c r="AV14" t="s">
        <v>62</v>
      </c>
      <c r="AW14" t="s">
        <v>4070</v>
      </c>
      <c r="AX14" t="s">
        <v>4071</v>
      </c>
      <c r="AY14" t="s">
        <v>2377</v>
      </c>
      <c r="AZ14" t="s">
        <v>62</v>
      </c>
      <c r="BA14" t="s">
        <v>4070</v>
      </c>
      <c r="BC14" t="s">
        <v>4071</v>
      </c>
      <c r="BD14" t="s">
        <v>2377</v>
      </c>
      <c r="BE14" t="s">
        <v>62</v>
      </c>
      <c r="BF14">
        <v>2</v>
      </c>
      <c r="BG14" s="24">
        <v>1341</v>
      </c>
      <c r="BH14" s="24" t="s">
        <v>4070</v>
      </c>
      <c r="BI14" s="24" t="s">
        <v>4071</v>
      </c>
      <c r="BJ14" s="24"/>
      <c r="BK14" s="24" t="s">
        <v>4066</v>
      </c>
      <c r="BL14" s="24" t="s">
        <v>4067</v>
      </c>
      <c r="BM14" s="24" t="s">
        <v>2381</v>
      </c>
      <c r="BN14" s="24" t="s">
        <v>4323</v>
      </c>
      <c r="BO14" s="24" t="s">
        <v>62</v>
      </c>
      <c r="BP14" s="4">
        <v>3168285500</v>
      </c>
      <c r="BQ14" s="25">
        <v>36877253988</v>
      </c>
      <c r="BR14" s="26">
        <v>2100</v>
      </c>
      <c r="BS14" s="26">
        <v>70000</v>
      </c>
      <c r="BT14" s="4">
        <v>1940</v>
      </c>
      <c r="BU14" s="24" t="s">
        <v>163</v>
      </c>
      <c r="BV14" s="4" t="s">
        <v>4324</v>
      </c>
      <c r="BW14" s="4" t="s">
        <v>133</v>
      </c>
      <c r="BX14" s="24" t="s">
        <v>825</v>
      </c>
      <c r="BY14" s="4">
        <v>5172</v>
      </c>
      <c r="BZ14" s="4" t="s">
        <v>826</v>
      </c>
      <c r="CA14" s="4">
        <v>5169</v>
      </c>
      <c r="CB14" s="4" t="s">
        <v>2300</v>
      </c>
      <c r="CC14" s="4">
        <v>51720000</v>
      </c>
      <c r="CD14" s="4" t="s">
        <v>825</v>
      </c>
      <c r="CE14" s="4">
        <v>51690000</v>
      </c>
      <c r="CF14" s="4" t="s">
        <v>2299</v>
      </c>
      <c r="CG14" s="24">
        <v>424720</v>
      </c>
      <c r="CH14" s="24" t="s">
        <v>827</v>
      </c>
      <c r="CI14" s="24">
        <v>424690</v>
      </c>
      <c r="CJ14" s="24" t="s">
        <v>2301</v>
      </c>
      <c r="CK14" s="19">
        <f>IF(BQ14&gt;0,BQ14,W14)</f>
        <v>36877253988</v>
      </c>
      <c r="CL14" s="20">
        <f>IF(BS14&gt;0,BS14,Y14)</f>
        <v>70000</v>
      </c>
      <c r="CM14" s="34">
        <f>IF(CG14&gt;0,CG14,AM14)</f>
        <v>424720</v>
      </c>
      <c r="CN14" s="80">
        <f>IF($BH14="",1,COUNTIF($BH$3:$BH14,$BH14))</f>
        <v>1</v>
      </c>
      <c r="CO14" s="33" t="s">
        <v>4386</v>
      </c>
      <c r="CP14" t="str">
        <f>IF($K14="Standard Match","Match",IF($K14="Name Only Match",IF($CO14="Yes","Match","Name Only Match"),"No Match"))</f>
        <v>Match</v>
      </c>
      <c r="CQ14" s="35" t="str">
        <f>IF(AND(CP14="Match",CK14&gt;0,CL14&gt;0),"Y","N")</f>
        <v>Y</v>
      </c>
      <c r="CR14" s="21"/>
      <c r="CS14" t="str">
        <f>IF($CQ14="Y",VLOOKUP($CM14,'SBA Size Standards'!$B$3:$G$57,MATCH('SBA Size Standards'!$G$3,'SBA Size Standards'!$B$3:$G$3,0),FALSE),"")</f>
        <v>Employment</v>
      </c>
      <c r="CT14" s="60" t="str">
        <f>IF(CQ14="Y",IF($CS14="Employment","N/A",VLOOKUP($CM14,'SBA Size Standards'!$B$3:$G$57,MATCH('SBA Size Standards'!$E$3,'SBA Size Standards'!$B$3:$G$3,0),FALSE)),"")</f>
        <v>N/A</v>
      </c>
      <c r="CU14" s="86">
        <f>IF($CQ14="Y",IF($CS14="Revenue","N/A",VLOOKUP($CM14,'SBA Size Standards'!$B$3:$G$57,MATCH('SBA Size Standards'!$F$3,'SBA Size Standards'!$B$3:$G$3,0),FALSE)),"")</f>
        <v>200</v>
      </c>
      <c r="CV14" t="str">
        <f>IF($CQ14="Y",IF(OR(AND($CS14="Employment",$CL14&lt;$CU14),AND($CS14="Revenue",$CK14&lt;$CT14)),"YES","NO"),"")</f>
        <v>NO</v>
      </c>
      <c r="CW14" s="90" t="str">
        <f>IF($CQ14="Y",INDEX('SBA Size Standards'!$N$3:$N$12,MATCH($CK14,'SBA Size Standards'!$O$3:$O$12,1)),"")</f>
        <v>$1,000,000,001 -$125,000,000,000</v>
      </c>
      <c r="CX14" s="122" t="s">
        <v>4968</v>
      </c>
      <c r="CY14" s="122">
        <f>INDEX('NM O&amp;G Production'!$P$3:$P$537,MATCH(CX14,'NM O&amp;G Production'!$Q$3:$Q$537,0))</f>
        <v>252</v>
      </c>
      <c r="CZ14" s="122" t="str">
        <f>INDEX('NM O&amp;G Production'!$O$3:$O$537,MATCH(CY14,'NM O&amp;G Production'!$P$3:$P$537,0))</f>
        <v>No</v>
      </c>
      <c r="DA14" s="127">
        <f>INDEX('NM O&amp;G Production'!$K$3:$O$537,MATCH($CY14,'NM O&amp;G Production'!$P$3:$P$537,0),MATCH(DA$2,'NM O&amp;G Production'!$K$2:$O$2,0))</f>
        <v>0</v>
      </c>
      <c r="DB14" s="127">
        <f>INDEX('NM O&amp;G Production'!$K$3:$O$537,MATCH($CY14,'NM O&amp;G Production'!$P$3:$P$537,0),MATCH(DB$2,'NM O&amp;G Production'!$K$2:$O$2,0))</f>
        <v>0</v>
      </c>
      <c r="DC14" s="127"/>
      <c r="DD14" s="127">
        <f>INDEX('NM O&amp;G Production'!$K$3:$O$537,MATCH($CY14,'NM O&amp;G Production'!$P$3:$P$537,0),MATCH(DD$2,'NM O&amp;G Production'!$K$2:$O$2,0))</f>
        <v>0</v>
      </c>
      <c r="DE14" s="127">
        <f>INDEX('NM O&amp;G Production'!$K$3:$O$537,MATCH($CY14,'NM O&amp;G Production'!$P$3:$P$537,0),MATCH(DE$2,'NM O&amp;G Production'!$K$2:$O$2,0))</f>
        <v>0</v>
      </c>
      <c r="DF14" s="258" t="e">
        <f>CK14/(DB14+DA14)</f>
        <v>#DIV/0!</v>
      </c>
      <c r="DG14" s="57">
        <f>DD14*(12/18)*1.06*'Oil and Gas Prices'!$C$18</f>
        <v>0</v>
      </c>
      <c r="DH14" s="284">
        <f>DE14*(12/18)*'Oil and Gas Prices'!$C$4</f>
        <v>0</v>
      </c>
      <c r="DI14" s="284"/>
      <c r="DJ14" s="57" t="e">
        <f>(DG14+DH14)/(DA14+DB14)</f>
        <v>#DIV/0!</v>
      </c>
      <c r="DK14" s="18" t="e">
        <f>CK14/DI14</f>
        <v>#DIV/0!</v>
      </c>
    </row>
    <row r="15" spans="1:229" x14ac:dyDescent="0.25">
      <c r="A15" s="21" t="s">
        <v>2513</v>
      </c>
      <c r="B15" s="21" t="s">
        <v>899</v>
      </c>
      <c r="C15" s="21"/>
      <c r="D15" s="21" t="s">
        <v>153</v>
      </c>
      <c r="E15" s="21" t="s">
        <v>80</v>
      </c>
      <c r="F15">
        <v>79705</v>
      </c>
      <c r="G15" t="s">
        <v>62</v>
      </c>
      <c r="I15">
        <v>361</v>
      </c>
      <c r="J15" t="s">
        <v>63</v>
      </c>
      <c r="K15" t="s">
        <v>4134</v>
      </c>
      <c r="L15" t="s">
        <v>3627</v>
      </c>
      <c r="M15">
        <v>8</v>
      </c>
      <c r="N15" t="s">
        <v>3700</v>
      </c>
      <c r="O15" s="21" t="s">
        <v>3701</v>
      </c>
      <c r="P15" s="21" t="s">
        <v>3702</v>
      </c>
      <c r="Q15" s="21" t="s">
        <v>3703</v>
      </c>
      <c r="R15" s="21" t="s">
        <v>112</v>
      </c>
      <c r="S15" s="21" t="s">
        <v>94</v>
      </c>
      <c r="T15" t="s">
        <v>3704</v>
      </c>
      <c r="U15" t="s">
        <v>62</v>
      </c>
      <c r="V15">
        <v>7136464100</v>
      </c>
      <c r="W15" s="23">
        <v>1438073070</v>
      </c>
      <c r="X15" s="21">
        <v>60</v>
      </c>
      <c r="Y15" s="21">
        <v>321</v>
      </c>
      <c r="Z15">
        <v>1997</v>
      </c>
      <c r="AA15" s="21" t="s">
        <v>163</v>
      </c>
      <c r="AB15" t="s">
        <v>3705</v>
      </c>
      <c r="AC15" t="s">
        <v>145</v>
      </c>
      <c r="AD15" s="21" t="s">
        <v>825</v>
      </c>
      <c r="AE15">
        <v>5172</v>
      </c>
      <c r="AF15" t="s">
        <v>826</v>
      </c>
      <c r="AG15">
        <v>4213</v>
      </c>
      <c r="AH15" t="s">
        <v>3706</v>
      </c>
      <c r="AI15">
        <v>51729901</v>
      </c>
      <c r="AJ15" t="s">
        <v>924</v>
      </c>
      <c r="AK15">
        <v>42139908</v>
      </c>
      <c r="AL15" t="s">
        <v>3707</v>
      </c>
      <c r="AM15" s="21">
        <v>424720</v>
      </c>
      <c r="AN15" s="21" t="s">
        <v>827</v>
      </c>
      <c r="AO15" s="21">
        <v>484230</v>
      </c>
      <c r="AP15" s="21" t="s">
        <v>3708</v>
      </c>
      <c r="AQ15" s="21" t="s">
        <v>168</v>
      </c>
      <c r="AR15" t="s">
        <v>3709</v>
      </c>
      <c r="AS15" t="s">
        <v>3710</v>
      </c>
      <c r="AT15" t="s">
        <v>76</v>
      </c>
      <c r="AU15" t="s">
        <v>80</v>
      </c>
      <c r="AV15" t="s">
        <v>62</v>
      </c>
      <c r="AW15" t="s">
        <v>3709</v>
      </c>
      <c r="AX15" t="s">
        <v>3710</v>
      </c>
      <c r="AY15" t="s">
        <v>80</v>
      </c>
      <c r="AZ15" t="s">
        <v>62</v>
      </c>
      <c r="BA15" t="s">
        <v>3711</v>
      </c>
      <c r="BC15" t="s">
        <v>3712</v>
      </c>
      <c r="BD15" t="s">
        <v>80</v>
      </c>
      <c r="BE15" t="s">
        <v>62</v>
      </c>
      <c r="BF15">
        <v>3</v>
      </c>
      <c r="BG15" s="24">
        <v>188</v>
      </c>
      <c r="BH15" s="24" t="s">
        <v>3709</v>
      </c>
      <c r="BI15" s="24" t="s">
        <v>3710</v>
      </c>
      <c r="BJ15" s="24" t="s">
        <v>4329</v>
      </c>
      <c r="BK15" s="24" t="s">
        <v>3703</v>
      </c>
      <c r="BL15" s="24" t="s">
        <v>112</v>
      </c>
      <c r="BM15" s="24" t="s">
        <v>94</v>
      </c>
      <c r="BN15" s="24" t="s">
        <v>3704</v>
      </c>
      <c r="BO15" s="24" t="s">
        <v>62</v>
      </c>
      <c r="BP15" s="4">
        <v>7136464100</v>
      </c>
      <c r="BQ15" s="25">
        <v>33669000000</v>
      </c>
      <c r="BR15" s="24">
        <v>23</v>
      </c>
      <c r="BS15" s="26">
        <v>5000</v>
      </c>
      <c r="BT15" s="4">
        <v>2013</v>
      </c>
      <c r="BU15" s="24" t="s">
        <v>163</v>
      </c>
      <c r="BV15" s="4" t="s">
        <v>4330</v>
      </c>
      <c r="BW15" s="4" t="s">
        <v>165</v>
      </c>
      <c r="BX15" s="24" t="s">
        <v>1392</v>
      </c>
      <c r="BY15" s="4">
        <v>4612</v>
      </c>
      <c r="BZ15" s="4" t="s">
        <v>1393</v>
      </c>
      <c r="CA15" s="4">
        <v>1321</v>
      </c>
      <c r="CB15" s="4" t="s">
        <v>3645</v>
      </c>
      <c r="CC15" s="4">
        <v>46120000</v>
      </c>
      <c r="CD15" s="4" t="s">
        <v>1392</v>
      </c>
      <c r="CE15" s="4">
        <v>13210000</v>
      </c>
      <c r="CF15" s="4" t="s">
        <v>3646</v>
      </c>
      <c r="CG15" s="24">
        <v>486110</v>
      </c>
      <c r="CH15" s="24" t="s">
        <v>1394</v>
      </c>
      <c r="CI15" s="24">
        <v>211130</v>
      </c>
      <c r="CJ15" s="24" t="s">
        <v>3647</v>
      </c>
      <c r="CK15" s="19">
        <f>IF(BQ15&gt;0,BQ15,W15)</f>
        <v>33669000000</v>
      </c>
      <c r="CL15" s="20">
        <f>IF(BS15&gt;0,BS15,Y15)</f>
        <v>5000</v>
      </c>
      <c r="CM15" s="34">
        <f>IF(CG15&gt;0,CG15,AM15)</f>
        <v>486110</v>
      </c>
      <c r="CN15" s="80">
        <f>IF($BH15="",1,COUNTIF($BH$3:$BH15,$BH15))</f>
        <v>1</v>
      </c>
      <c r="CO15" s="33" t="s">
        <v>4386</v>
      </c>
      <c r="CP15" t="str">
        <f>IF($K15="Standard Match","Match",IF($K15="Name Only Match",IF($CO15="Yes","Match","Name Only Match"),"No Match"))</f>
        <v>Match</v>
      </c>
      <c r="CQ15" s="35" t="str">
        <f>IF(AND(CP15="Match",CK15&gt;0,CL15&gt;0),"Y","N")</f>
        <v>Y</v>
      </c>
      <c r="CR15" s="21"/>
      <c r="CS15" t="str">
        <f>IF($CQ15="Y",VLOOKUP($CM15,'SBA Size Standards'!$B$3:$G$57,MATCH('SBA Size Standards'!$G$3,'SBA Size Standards'!$B$3:$G$3,0),FALSE),"")</f>
        <v>Employment</v>
      </c>
      <c r="CT15" s="60" t="str">
        <f>IF(CQ15="Y",IF($CS15="Employment","N/A",VLOOKUP($CM15,'SBA Size Standards'!$B$3:$G$57,MATCH('SBA Size Standards'!$E$3,'SBA Size Standards'!$B$3:$G$3,0),FALSE)),"")</f>
        <v>N/A</v>
      </c>
      <c r="CU15" s="86">
        <f>IF($CQ15="Y",IF($CS15="Revenue","N/A",VLOOKUP($CM15,'SBA Size Standards'!$B$3:$G$57,MATCH('SBA Size Standards'!$F$3,'SBA Size Standards'!$B$3:$G$3,0),FALSE)),"")</f>
        <v>1500</v>
      </c>
      <c r="CV15" t="str">
        <f>IF($CQ15="Y",IF(OR(AND($CS15="Employment",$CL15&lt;$CU15),AND($CS15="Revenue",$CK15&lt;$CT15)),"YES","NO"),"")</f>
        <v>NO</v>
      </c>
      <c r="CW15" s="90" t="str">
        <f>IF($CQ15="Y",INDEX('SBA Size Standards'!$N$3:$N$12,MATCH($CK15,'SBA Size Standards'!$O$3:$O$12,1)),"")</f>
        <v>$1,000,000,001 -$125,000,000,000</v>
      </c>
      <c r="CX15" s="122" t="s">
        <v>4986</v>
      </c>
      <c r="CY15" s="122">
        <f>INDEX('NM O&amp;G Production'!$P$3:$P$537,MATCH(CX15,'NM O&amp;G Production'!$Q$3:$Q$537,0))</f>
        <v>361</v>
      </c>
      <c r="CZ15" s="122" t="str">
        <f>INDEX('NM O&amp;G Production'!$O$3:$O$537,MATCH(CY15,'NM O&amp;G Production'!$P$3:$P$537,0))</f>
        <v>No</v>
      </c>
      <c r="DA15" s="127">
        <f>INDEX('NM O&amp;G Production'!$K$3:$O$537,MATCH($CY15,'NM O&amp;G Production'!$P$3:$P$537,0),MATCH(DA$2,'NM O&amp;G Production'!$K$2:$O$2,0))</f>
        <v>0</v>
      </c>
      <c r="DB15" s="127">
        <f>INDEX('NM O&amp;G Production'!$K$3:$O$537,MATCH($CY15,'NM O&amp;G Production'!$P$3:$P$537,0),MATCH(DB$2,'NM O&amp;G Production'!$K$2:$O$2,0))</f>
        <v>0</v>
      </c>
      <c r="DC15" s="127"/>
      <c r="DD15" s="127">
        <f>INDEX('NM O&amp;G Production'!$K$3:$O$537,MATCH($CY15,'NM O&amp;G Production'!$P$3:$P$537,0),MATCH(DD$2,'NM O&amp;G Production'!$K$2:$O$2,0))</f>
        <v>0</v>
      </c>
      <c r="DE15" s="127">
        <f>INDEX('NM O&amp;G Production'!$K$3:$O$537,MATCH($CY15,'NM O&amp;G Production'!$P$3:$P$537,0),MATCH(DE$2,'NM O&amp;G Production'!$K$2:$O$2,0))</f>
        <v>0</v>
      </c>
      <c r="DF15" s="258" t="e">
        <f>CK15/(DB15+DA15)</f>
        <v>#DIV/0!</v>
      </c>
      <c r="DG15" s="57">
        <f>DD15*(12/18)*1.06*'Oil and Gas Prices'!$C$18</f>
        <v>0</v>
      </c>
      <c r="DH15" s="284">
        <f>DE15*(12/18)*'Oil and Gas Prices'!$C$4</f>
        <v>0</v>
      </c>
      <c r="DI15" s="284"/>
      <c r="DJ15" s="57" t="e">
        <f>(DG15+DH15)/(DA15+DB15)</f>
        <v>#DIV/0!</v>
      </c>
      <c r="DK15" s="18" t="e">
        <f>CK15/DI15</f>
        <v>#DIV/0!</v>
      </c>
    </row>
    <row r="16" spans="1:229" x14ac:dyDescent="0.25">
      <c r="A16" t="s">
        <v>2180</v>
      </c>
      <c r="B16" t="s">
        <v>1158</v>
      </c>
      <c r="D16" t="s">
        <v>112</v>
      </c>
      <c r="E16" t="s">
        <v>80</v>
      </c>
      <c r="F16">
        <v>77210</v>
      </c>
      <c r="G16" t="s">
        <v>62</v>
      </c>
      <c r="I16">
        <v>308</v>
      </c>
      <c r="J16" t="s">
        <v>63</v>
      </c>
      <c r="K16" t="s">
        <v>4133</v>
      </c>
      <c r="L16" t="s">
        <v>149</v>
      </c>
      <c r="M16">
        <v>10</v>
      </c>
      <c r="N16" t="s">
        <v>2181</v>
      </c>
      <c r="O16" t="s">
        <v>2182</v>
      </c>
      <c r="Q16" t="s">
        <v>2183</v>
      </c>
      <c r="R16" t="s">
        <v>112</v>
      </c>
      <c r="S16" t="s">
        <v>94</v>
      </c>
      <c r="T16" t="s">
        <v>2184</v>
      </c>
      <c r="U16" t="s">
        <v>62</v>
      </c>
      <c r="V16">
        <v>7138806500</v>
      </c>
      <c r="W16" s="1">
        <v>617166444</v>
      </c>
      <c r="X16">
        <v>28</v>
      </c>
      <c r="Y16">
        <v>250</v>
      </c>
      <c r="Z16">
        <v>2002</v>
      </c>
      <c r="AA16" t="s">
        <v>163</v>
      </c>
      <c r="AB16" t="s">
        <v>2185</v>
      </c>
      <c r="AC16" t="s">
        <v>145</v>
      </c>
      <c r="AD16" t="s">
        <v>1027</v>
      </c>
      <c r="AE16">
        <v>4922</v>
      </c>
      <c r="AF16" t="s">
        <v>1028</v>
      </c>
      <c r="AI16">
        <v>49229901</v>
      </c>
      <c r="AJ16" t="s">
        <v>1108</v>
      </c>
      <c r="AM16">
        <v>486210</v>
      </c>
      <c r="AN16" t="s">
        <v>1029</v>
      </c>
      <c r="AQ16" t="s">
        <v>168</v>
      </c>
      <c r="AR16" t="s">
        <v>1167</v>
      </c>
      <c r="AS16" t="s">
        <v>1168</v>
      </c>
      <c r="AT16" t="s">
        <v>76</v>
      </c>
      <c r="AU16" t="s">
        <v>80</v>
      </c>
      <c r="AV16" t="s">
        <v>62</v>
      </c>
      <c r="AW16" t="s">
        <v>1167</v>
      </c>
      <c r="AX16" t="s">
        <v>1168</v>
      </c>
      <c r="AY16" t="s">
        <v>80</v>
      </c>
      <c r="AZ16" t="s">
        <v>62</v>
      </c>
      <c r="BA16" t="s">
        <v>2186</v>
      </c>
      <c r="BC16" t="s">
        <v>2187</v>
      </c>
      <c r="BD16" t="s">
        <v>80</v>
      </c>
      <c r="BE16" t="s">
        <v>62</v>
      </c>
      <c r="BF16">
        <v>3</v>
      </c>
      <c r="BG16">
        <v>311</v>
      </c>
      <c r="BH16" s="4" t="s">
        <v>1167</v>
      </c>
      <c r="BI16" s="4" t="s">
        <v>1168</v>
      </c>
      <c r="BK16" s="4" t="s">
        <v>4193</v>
      </c>
      <c r="BL16" s="4" t="s">
        <v>112</v>
      </c>
      <c r="BM16" s="4" t="s">
        <v>94</v>
      </c>
      <c r="BN16" s="4" t="s">
        <v>4194</v>
      </c>
      <c r="BO16" s="4" t="s">
        <v>62</v>
      </c>
      <c r="BP16" s="4">
        <v>7133816500</v>
      </c>
      <c r="BQ16" s="5">
        <v>32789200000</v>
      </c>
      <c r="BR16" s="4">
        <v>149</v>
      </c>
      <c r="BS16" s="6">
        <v>7300</v>
      </c>
      <c r="BT16" s="4">
        <v>1968</v>
      </c>
      <c r="BU16" s="4" t="s">
        <v>163</v>
      </c>
      <c r="BV16" s="4" t="s">
        <v>4195</v>
      </c>
      <c r="BW16" s="4" t="s">
        <v>4196</v>
      </c>
      <c r="BX16" s="4" t="s">
        <v>1027</v>
      </c>
      <c r="BY16" s="4">
        <v>4922</v>
      </c>
      <c r="BZ16" s="4" t="s">
        <v>1028</v>
      </c>
      <c r="CA16" s="4">
        <v>4925</v>
      </c>
      <c r="CB16" s="4" t="s">
        <v>2868</v>
      </c>
      <c r="CC16" s="4">
        <v>49229901</v>
      </c>
      <c r="CD16" s="4" t="s">
        <v>1108</v>
      </c>
      <c r="CE16" s="4">
        <v>49250000</v>
      </c>
      <c r="CF16" s="4" t="s">
        <v>2869</v>
      </c>
      <c r="CG16" s="4">
        <v>486210</v>
      </c>
      <c r="CH16" s="4" t="s">
        <v>1029</v>
      </c>
      <c r="CI16" s="4">
        <v>221210</v>
      </c>
      <c r="CJ16" s="4" t="s">
        <v>166</v>
      </c>
      <c r="CK16" s="19">
        <f>IF(BQ16&gt;0,BQ16,W16)</f>
        <v>32789200000</v>
      </c>
      <c r="CL16" s="20">
        <f>IF(BS16&gt;0,BS16,Y16)</f>
        <v>7300</v>
      </c>
      <c r="CM16" s="34">
        <f>IF(CG16&gt;0,CG16,AM16)</f>
        <v>486210</v>
      </c>
      <c r="CN16" s="80">
        <f>IF($BH16="",1,COUNTIF($BH$3:$BH16,$BH16))</f>
        <v>1</v>
      </c>
      <c r="CP16" t="str">
        <f>IF($K16="Standard Match","Match",IF($K16="Name Only Match",IF($CO16="Yes","Match","Name Only Match"),"No Match"))</f>
        <v>Match</v>
      </c>
      <c r="CQ16" s="35" t="str">
        <f>IF(AND(CP16="Match",CK16&gt;0,CL16&gt;0),"Y","N")</f>
        <v>Y</v>
      </c>
      <c r="CS16" t="str">
        <f>IF($CQ16="Y",VLOOKUP($CM16,'SBA Size Standards'!$B$3:$G$57,MATCH('SBA Size Standards'!$G$3,'SBA Size Standards'!$B$3:$G$3,0),FALSE),"")</f>
        <v>Revenue</v>
      </c>
      <c r="CT16" s="60">
        <f>IF(CQ16="Y",IF($CS16="Employment","N/A",VLOOKUP($CM16,'SBA Size Standards'!$B$3:$G$57,MATCH('SBA Size Standards'!$E$3,'SBA Size Standards'!$B$3:$G$3,0),FALSE)),"")</f>
        <v>30000000</v>
      </c>
      <c r="CU16" s="86" t="str">
        <f>IF($CQ16="Y",IF($CS16="Revenue","N/A",VLOOKUP($CM16,'SBA Size Standards'!$B$3:$G$57,MATCH('SBA Size Standards'!$F$3,'SBA Size Standards'!$B$3:$G$3,0),FALSE)),"")</f>
        <v>N/A</v>
      </c>
      <c r="CV16" t="str">
        <f>IF($CQ16="Y",IF(OR(AND($CS16="Employment",$CL16&lt;$CU16),AND($CS16="Revenue",$CK16&lt;$CT16)),"YES","NO"),"")</f>
        <v>NO</v>
      </c>
      <c r="CW16" s="90" t="str">
        <f>IF($CQ16="Y",INDEX('SBA Size Standards'!$N$3:$N$12,MATCH($CK16,'SBA Size Standards'!$O$3:$O$12,1)),"")</f>
        <v>$1,000,000,001 -$125,000,000,000</v>
      </c>
      <c r="CX16" s="122" t="s">
        <v>4680</v>
      </c>
      <c r="CY16" s="122">
        <f>INDEX('NM O&amp;G Production'!$P$3:$P$537,MATCH(CX16,'NM O&amp;G Production'!$Q$3:$Q$537,0))</f>
        <v>308</v>
      </c>
      <c r="CZ16" s="122" t="str">
        <f>INDEX('NM O&amp;G Production'!$O$3:$O$537,MATCH(CY16,'NM O&amp;G Production'!$P$3:$P$537,0))</f>
        <v>No</v>
      </c>
      <c r="DA16" s="127">
        <f>INDEX('NM O&amp;G Production'!$K$3:$O$537,MATCH($CY16,'NM O&amp;G Production'!$P$3:$P$537,0),MATCH(DA$2,'NM O&amp;G Production'!$K$2:$O$2,0))</f>
        <v>0</v>
      </c>
      <c r="DB16" s="127">
        <f>INDEX('NM O&amp;G Production'!$K$3:$O$537,MATCH($CY16,'NM O&amp;G Production'!$P$3:$P$537,0),MATCH(DB$2,'NM O&amp;G Production'!$K$2:$O$2,0))</f>
        <v>0</v>
      </c>
      <c r="DC16" s="127"/>
      <c r="DD16" s="127">
        <f>INDEX('NM O&amp;G Production'!$K$3:$O$537,MATCH($CY16,'NM O&amp;G Production'!$P$3:$P$537,0),MATCH(DD$2,'NM O&amp;G Production'!$K$2:$O$2,0))</f>
        <v>0</v>
      </c>
      <c r="DE16" s="127">
        <f>INDEX('NM O&amp;G Production'!$K$3:$O$537,MATCH($CY16,'NM O&amp;G Production'!$P$3:$P$537,0),MATCH(DE$2,'NM O&amp;G Production'!$K$2:$O$2,0))</f>
        <v>0</v>
      </c>
      <c r="DF16" s="258" t="e">
        <f>CK16/(DB16+DA16)</f>
        <v>#DIV/0!</v>
      </c>
      <c r="DG16" s="57">
        <f>DD16*(12/18)*1.06*'Oil and Gas Prices'!$C$18</f>
        <v>0</v>
      </c>
      <c r="DH16" s="284">
        <f>DE16*(12/18)*'Oil and Gas Prices'!$C$4</f>
        <v>0</v>
      </c>
      <c r="DI16" s="284"/>
      <c r="DJ16" s="57" t="e">
        <f>(DG16+DH16)/(DA16+DB16)</f>
        <v>#DIV/0!</v>
      </c>
      <c r="DK16" s="18" t="e">
        <f>CK16/DI16</f>
        <v>#DIV/0!</v>
      </c>
    </row>
    <row r="17" spans="1:115" x14ac:dyDescent="0.25">
      <c r="A17" t="s">
        <v>1157</v>
      </c>
      <c r="B17" t="s">
        <v>1158</v>
      </c>
      <c r="D17" t="s">
        <v>112</v>
      </c>
      <c r="E17" t="s">
        <v>80</v>
      </c>
      <c r="F17">
        <v>77208</v>
      </c>
      <c r="G17" t="s">
        <v>62</v>
      </c>
      <c r="I17">
        <v>151</v>
      </c>
      <c r="J17" t="s">
        <v>63</v>
      </c>
      <c r="K17" t="s">
        <v>4133</v>
      </c>
      <c r="L17" t="s">
        <v>279</v>
      </c>
      <c r="M17">
        <v>8</v>
      </c>
      <c r="N17" t="s">
        <v>1159</v>
      </c>
      <c r="O17" t="s">
        <v>1160</v>
      </c>
      <c r="Q17" t="s">
        <v>1161</v>
      </c>
      <c r="R17" t="s">
        <v>112</v>
      </c>
      <c r="S17" t="s">
        <v>94</v>
      </c>
      <c r="T17" t="s">
        <v>1162</v>
      </c>
      <c r="U17" t="s">
        <v>62</v>
      </c>
      <c r="V17">
        <v>7133816500</v>
      </c>
      <c r="W17" s="1">
        <v>582540</v>
      </c>
      <c r="X17">
        <v>3</v>
      </c>
      <c r="Y17">
        <v>3</v>
      </c>
      <c r="Z17">
        <v>1997</v>
      </c>
      <c r="AA17" t="s">
        <v>70</v>
      </c>
      <c r="AB17" t="s">
        <v>1163</v>
      </c>
      <c r="AC17" t="s">
        <v>133</v>
      </c>
      <c r="AD17" t="s">
        <v>1164</v>
      </c>
      <c r="AE17">
        <v>1629</v>
      </c>
      <c r="AF17" t="s">
        <v>1165</v>
      </c>
      <c r="AI17">
        <v>16290503</v>
      </c>
      <c r="AJ17" t="s">
        <v>1166</v>
      </c>
      <c r="AM17">
        <v>237120</v>
      </c>
      <c r="AN17" t="s">
        <v>413</v>
      </c>
      <c r="AQ17" t="s">
        <v>168</v>
      </c>
      <c r="AR17" t="s">
        <v>1167</v>
      </c>
      <c r="AS17" t="s">
        <v>1168</v>
      </c>
      <c r="AT17" t="s">
        <v>76</v>
      </c>
      <c r="AU17" t="s">
        <v>80</v>
      </c>
      <c r="AV17" t="s">
        <v>62</v>
      </c>
      <c r="AW17" t="s">
        <v>1167</v>
      </c>
      <c r="AX17" t="s">
        <v>1168</v>
      </c>
      <c r="AY17" t="s">
        <v>80</v>
      </c>
      <c r="AZ17" t="s">
        <v>62</v>
      </c>
      <c r="BA17" t="s">
        <v>1167</v>
      </c>
      <c r="BC17" t="s">
        <v>1168</v>
      </c>
      <c r="BD17" t="s">
        <v>80</v>
      </c>
      <c r="BE17" t="s">
        <v>62</v>
      </c>
      <c r="BF17">
        <v>2</v>
      </c>
      <c r="BG17">
        <v>311</v>
      </c>
      <c r="BH17" s="4" t="s">
        <v>1167</v>
      </c>
      <c r="BI17" s="4" t="s">
        <v>1168</v>
      </c>
      <c r="BK17" s="4" t="s">
        <v>4193</v>
      </c>
      <c r="BL17" s="4" t="s">
        <v>112</v>
      </c>
      <c r="BM17" s="4" t="s">
        <v>94</v>
      </c>
      <c r="BN17" s="4" t="s">
        <v>4194</v>
      </c>
      <c r="BO17" s="4" t="s">
        <v>62</v>
      </c>
      <c r="BP17" s="4">
        <v>7133816500</v>
      </c>
      <c r="BQ17" s="5">
        <v>32789200000</v>
      </c>
      <c r="BR17" s="4">
        <v>149</v>
      </c>
      <c r="BS17" s="6">
        <v>7300</v>
      </c>
      <c r="BT17" s="4">
        <v>1968</v>
      </c>
      <c r="BU17" s="4" t="s">
        <v>163</v>
      </c>
      <c r="BV17" s="4" t="s">
        <v>4195</v>
      </c>
      <c r="BW17" s="4" t="s">
        <v>4196</v>
      </c>
      <c r="BX17" s="4" t="s">
        <v>1027</v>
      </c>
      <c r="BY17" s="4">
        <v>4922</v>
      </c>
      <c r="BZ17" s="4" t="s">
        <v>1028</v>
      </c>
      <c r="CA17" s="4">
        <v>4925</v>
      </c>
      <c r="CB17" s="4" t="s">
        <v>2868</v>
      </c>
      <c r="CC17" s="4">
        <v>49229901</v>
      </c>
      <c r="CD17" s="4" t="s">
        <v>1108</v>
      </c>
      <c r="CE17" s="4">
        <v>49250000</v>
      </c>
      <c r="CF17" s="4" t="s">
        <v>2869</v>
      </c>
      <c r="CG17" s="4">
        <v>486210</v>
      </c>
      <c r="CH17" s="4" t="s">
        <v>1029</v>
      </c>
      <c r="CI17" s="4">
        <v>221210</v>
      </c>
      <c r="CJ17" s="4" t="s">
        <v>166</v>
      </c>
      <c r="CK17" s="19">
        <f>IF(BQ17&gt;0,BQ17,W17)</f>
        <v>32789200000</v>
      </c>
      <c r="CL17" s="20">
        <f>IF(BS17&gt;0,BS17,Y17)</f>
        <v>7300</v>
      </c>
      <c r="CM17" s="34">
        <f>IF(CG17&gt;0,CG17,AM17)</f>
        <v>486210</v>
      </c>
      <c r="CN17" s="80">
        <f>IF($BH17="",1,COUNTIF($BH$3:$BH17,$BH17))</f>
        <v>2</v>
      </c>
      <c r="CP17" t="str">
        <f>IF($K17="Standard Match","Match",IF($K17="Name Only Match",IF($CO17="Yes","Match","Name Only Match"),"No Match"))</f>
        <v>Match</v>
      </c>
      <c r="CQ17" s="35" t="str">
        <f>IF(AND(CP17="Match",CK17&gt;0,CL17&gt;0),"Y","N")</f>
        <v>Y</v>
      </c>
      <c r="CS17" t="str">
        <f>IF($CQ17="Y",VLOOKUP($CM17,'SBA Size Standards'!$B$3:$G$57,MATCH('SBA Size Standards'!$G$3,'SBA Size Standards'!$B$3:$G$3,0),FALSE),"")</f>
        <v>Revenue</v>
      </c>
      <c r="CT17" s="60">
        <f>IF(CQ17="Y",IF($CS17="Employment","N/A",VLOOKUP($CM17,'SBA Size Standards'!$B$3:$G$57,MATCH('SBA Size Standards'!$E$3,'SBA Size Standards'!$B$3:$G$3,0),FALSE)),"")</f>
        <v>30000000</v>
      </c>
      <c r="CU17" s="86" t="str">
        <f>IF($CQ17="Y",IF($CS17="Revenue","N/A",VLOOKUP($CM17,'SBA Size Standards'!$B$3:$G$57,MATCH('SBA Size Standards'!$F$3,'SBA Size Standards'!$B$3:$G$3,0),FALSE)),"")</f>
        <v>N/A</v>
      </c>
      <c r="CV17" t="str">
        <f>IF($CQ17="Y",IF(OR(AND($CS17="Employment",$CL17&lt;$CU17),AND($CS17="Revenue",$CK17&lt;$CT17)),"YES","NO"),"")</f>
        <v>NO</v>
      </c>
      <c r="CW17" s="90" t="str">
        <f>IF($CQ17="Y",INDEX('SBA Size Standards'!$N$3:$N$12,MATCH($CK17,'SBA Size Standards'!$O$3:$O$12,1)),"")</f>
        <v>$1,000,000,001 -$125,000,000,000</v>
      </c>
      <c r="CX17" s="122" t="s">
        <v>4836</v>
      </c>
      <c r="CY17" s="122">
        <f>INDEX('NM O&amp;G Production'!$P$3:$P$537,MATCH(CX17,'NM O&amp;G Production'!$Q$3:$Q$537,0))</f>
        <v>151</v>
      </c>
      <c r="CZ17" s="122" t="str">
        <f>INDEX('NM O&amp;G Production'!$O$3:$O$537,MATCH(CY17,'NM O&amp;G Production'!$P$3:$P$537,0))</f>
        <v>No</v>
      </c>
      <c r="DA17" s="127">
        <f>INDEX('NM O&amp;G Production'!$K$3:$O$537,MATCH($CY17,'NM O&amp;G Production'!$P$3:$P$537,0),MATCH(DA$2,'NM O&amp;G Production'!$K$2:$O$2,0))</f>
        <v>0</v>
      </c>
      <c r="DB17" s="127">
        <f>INDEX('NM O&amp;G Production'!$K$3:$O$537,MATCH($CY17,'NM O&amp;G Production'!$P$3:$P$537,0),MATCH(DB$2,'NM O&amp;G Production'!$K$2:$O$2,0))</f>
        <v>0</v>
      </c>
      <c r="DC17" s="127"/>
      <c r="DD17" s="127">
        <f>INDEX('NM O&amp;G Production'!$K$3:$O$537,MATCH($CY17,'NM O&amp;G Production'!$P$3:$P$537,0),MATCH(DD$2,'NM O&amp;G Production'!$K$2:$O$2,0))</f>
        <v>0</v>
      </c>
      <c r="DE17" s="127">
        <f>INDEX('NM O&amp;G Production'!$K$3:$O$537,MATCH($CY17,'NM O&amp;G Production'!$P$3:$P$537,0),MATCH(DE$2,'NM O&amp;G Production'!$K$2:$O$2,0))</f>
        <v>0</v>
      </c>
      <c r="DF17" s="258" t="e">
        <f>CK17/(DB17+DA17)</f>
        <v>#DIV/0!</v>
      </c>
      <c r="DG17" s="57">
        <f>DD17*(12/18)*1.06*'Oil and Gas Prices'!$C$18</f>
        <v>0</v>
      </c>
      <c r="DH17" s="284">
        <f>DE17*(12/18)*'Oil and Gas Prices'!$C$4</f>
        <v>0</v>
      </c>
      <c r="DI17" s="284"/>
      <c r="DJ17" s="57" t="e">
        <f>(DG17+DH17)/(DA17+DB17)</f>
        <v>#DIV/0!</v>
      </c>
      <c r="DK17" s="18" t="e">
        <f>CK17/DI17</f>
        <v>#DIV/0!</v>
      </c>
    </row>
    <row r="18" spans="1:115" x14ac:dyDescent="0.25">
      <c r="A18" t="s">
        <v>3421</v>
      </c>
      <c r="B18" t="s">
        <v>3422</v>
      </c>
      <c r="D18" t="s">
        <v>585</v>
      </c>
      <c r="E18" t="s">
        <v>184</v>
      </c>
      <c r="F18">
        <v>73112</v>
      </c>
      <c r="G18" t="s">
        <v>62</v>
      </c>
      <c r="I18">
        <v>506</v>
      </c>
      <c r="J18" t="s">
        <v>63</v>
      </c>
      <c r="K18" t="s">
        <v>4133</v>
      </c>
      <c r="L18" t="s">
        <v>64</v>
      </c>
      <c r="M18">
        <v>10</v>
      </c>
      <c r="N18" t="s">
        <v>3423</v>
      </c>
      <c r="O18" t="s">
        <v>3424</v>
      </c>
      <c r="Q18" t="s">
        <v>3425</v>
      </c>
      <c r="R18" t="s">
        <v>585</v>
      </c>
      <c r="S18" t="s">
        <v>188</v>
      </c>
      <c r="T18" t="s">
        <v>3426</v>
      </c>
      <c r="U18" t="s">
        <v>62</v>
      </c>
      <c r="V18">
        <v>4058483933</v>
      </c>
      <c r="W18" s="1">
        <v>204898</v>
      </c>
      <c r="X18">
        <v>5</v>
      </c>
      <c r="Y18">
        <v>5</v>
      </c>
      <c r="Z18">
        <v>2014</v>
      </c>
      <c r="AA18" t="s">
        <v>70</v>
      </c>
      <c r="AB18" t="s">
        <v>3427</v>
      </c>
      <c r="AC18" t="s">
        <v>231</v>
      </c>
      <c r="AD18" t="s">
        <v>119</v>
      </c>
      <c r="AE18">
        <v>1382</v>
      </c>
      <c r="AF18" t="s">
        <v>120</v>
      </c>
      <c r="AI18">
        <v>13820000</v>
      </c>
      <c r="AJ18" t="s">
        <v>119</v>
      </c>
      <c r="AM18">
        <v>213112</v>
      </c>
      <c r="AN18" t="s">
        <v>74</v>
      </c>
      <c r="AQ18" t="s">
        <v>168</v>
      </c>
      <c r="AR18" t="s">
        <v>3428</v>
      </c>
      <c r="AS18" t="s">
        <v>3429</v>
      </c>
      <c r="AT18" t="s">
        <v>76</v>
      </c>
      <c r="AV18" t="s">
        <v>3430</v>
      </c>
      <c r="AW18" t="s">
        <v>3431</v>
      </c>
      <c r="AX18" t="s">
        <v>3432</v>
      </c>
      <c r="AY18" t="s">
        <v>1911</v>
      </c>
      <c r="AZ18" t="s">
        <v>62</v>
      </c>
      <c r="BA18" t="s">
        <v>3431</v>
      </c>
      <c r="BC18" t="s">
        <v>3432</v>
      </c>
      <c r="BD18" t="s">
        <v>1911</v>
      </c>
      <c r="BE18" t="s">
        <v>3430</v>
      </c>
      <c r="BF18">
        <v>3</v>
      </c>
      <c r="BG18">
        <v>3495</v>
      </c>
      <c r="BH18" s="4" t="s">
        <v>3428</v>
      </c>
      <c r="BI18" s="4" t="s">
        <v>3429</v>
      </c>
      <c r="BK18" s="4" t="s">
        <v>4227</v>
      </c>
      <c r="BL18" s="4" t="s">
        <v>4228</v>
      </c>
      <c r="BN18" s="4" t="s">
        <v>4229</v>
      </c>
      <c r="BO18" s="4" t="s">
        <v>3430</v>
      </c>
      <c r="BQ18" s="5">
        <v>28758000000</v>
      </c>
      <c r="BR18" s="4">
        <v>0</v>
      </c>
      <c r="BS18" s="6">
        <v>79627</v>
      </c>
      <c r="BT18" s="4">
        <v>2017</v>
      </c>
      <c r="BU18" s="4" t="s">
        <v>163</v>
      </c>
      <c r="BV18" s="4" t="s">
        <v>4230</v>
      </c>
      <c r="BW18" s="4" t="s">
        <v>1234</v>
      </c>
      <c r="BX18" s="4" t="s">
        <v>4231</v>
      </c>
      <c r="BY18" s="4">
        <v>6733</v>
      </c>
      <c r="BZ18" s="4" t="s">
        <v>4232</v>
      </c>
      <c r="CC18" s="4">
        <v>67330000</v>
      </c>
      <c r="CD18" s="4" t="s">
        <v>4231</v>
      </c>
      <c r="CG18" s="4">
        <v>523991</v>
      </c>
      <c r="CH18" s="4" t="s">
        <v>4233</v>
      </c>
      <c r="CK18" s="19">
        <f>IF(BQ18&gt;0,BQ18,W18)</f>
        <v>28758000000</v>
      </c>
      <c r="CL18" s="20">
        <f>IF(BS18&gt;0,BS18,Y18)</f>
        <v>79627</v>
      </c>
      <c r="CM18" s="34">
        <f>IF(CG18&gt;0,CG18,AM18)</f>
        <v>523991</v>
      </c>
      <c r="CN18" s="80">
        <f>IF($BH18="",1,COUNTIF($BH$3:$BH18,$BH18))</f>
        <v>1</v>
      </c>
      <c r="CP18" t="str">
        <f>IF($K18="Standard Match","Match",IF($K18="Name Only Match",IF($CO18="Yes","Match","Name Only Match"),"No Match"))</f>
        <v>Match</v>
      </c>
      <c r="CQ18" s="35" t="str">
        <f>IF(AND(CP18="Match",CK18&gt;0,CL18&gt;0),"Y","N")</f>
        <v>Y</v>
      </c>
      <c r="CS18" t="str">
        <f>IF($CQ18="Y",VLOOKUP($CM18,'SBA Size Standards'!$B$3:$G$57,MATCH('SBA Size Standards'!$G$3,'SBA Size Standards'!$B$3:$G$3,0),FALSE),"")</f>
        <v>Revenue</v>
      </c>
      <c r="CT18" s="60">
        <f>IF(CQ18="Y",IF($CS18="Employment","N/A",VLOOKUP($CM18,'SBA Size Standards'!$B$3:$G$57,MATCH('SBA Size Standards'!$E$3,'SBA Size Standards'!$B$3:$G$3,0),FALSE)),"")</f>
        <v>41500000</v>
      </c>
      <c r="CU18" s="86" t="str">
        <f>IF($CQ18="Y",IF($CS18="Revenue","N/A",VLOOKUP($CM18,'SBA Size Standards'!$B$3:$G$57,MATCH('SBA Size Standards'!$F$3,'SBA Size Standards'!$B$3:$G$3,0),FALSE)),"")</f>
        <v>N/A</v>
      </c>
      <c r="CV18" t="str">
        <f>IF($CQ18="Y",IF(OR(AND($CS18="Employment",$CL18&lt;$CU18),AND($CS18="Revenue",$CK18&lt;$CT18)),"YES","NO"),"")</f>
        <v>NO</v>
      </c>
      <c r="CW18" s="90" t="str">
        <f>IF($CQ18="Y",INDEX('SBA Size Standards'!$N$3:$N$12,MATCH($CK18,'SBA Size Standards'!$O$3:$O$12,1)),"")</f>
        <v>$1,000,000,001 -$125,000,000,000</v>
      </c>
      <c r="CX18" s="122" t="s">
        <v>4777</v>
      </c>
      <c r="CY18" s="122">
        <f>INDEX('NM O&amp;G Production'!$P$3:$P$537,MATCH(CX18,'NM O&amp;G Production'!$Q$3:$Q$537,0))</f>
        <v>506</v>
      </c>
      <c r="CZ18" s="122" t="str">
        <f>INDEX('NM O&amp;G Production'!$O$3:$O$537,MATCH(CY18,'NM O&amp;G Production'!$P$3:$P$537,0))</f>
        <v>Yes</v>
      </c>
      <c r="DA18" s="127">
        <f>INDEX('NM O&amp;G Production'!$K$3:$O$537,MATCH($CY18,'NM O&amp;G Production'!$P$3:$P$537,0),MATCH(DA$2,'NM O&amp;G Production'!$K$2:$O$2,0))</f>
        <v>0</v>
      </c>
      <c r="DB18" s="127">
        <f>INDEX('NM O&amp;G Production'!$K$3:$O$537,MATCH($CY18,'NM O&amp;G Production'!$P$3:$P$537,0),MATCH(DB$2,'NM O&amp;G Production'!$K$2:$O$2,0))</f>
        <v>20</v>
      </c>
      <c r="DC18" s="127">
        <f>DA18+DB18</f>
        <v>20</v>
      </c>
      <c r="DD18" s="127">
        <f>INDEX('NM O&amp;G Production'!$K$3:$O$537,MATCH($CY18,'NM O&amp;G Production'!$P$3:$P$537,0),MATCH(DD$2,'NM O&amp;G Production'!$K$2:$O$2,0))</f>
        <v>0</v>
      </c>
      <c r="DE18" s="127">
        <f>INDEX('NM O&amp;G Production'!$K$3:$O$537,MATCH($CY18,'NM O&amp;G Production'!$P$3:$P$537,0),MATCH(DE$2,'NM O&amp;G Production'!$K$2:$O$2,0))</f>
        <v>32210</v>
      </c>
      <c r="DF18" s="258">
        <f>CK18/(DB18+DA18)</f>
        <v>1437900000</v>
      </c>
      <c r="DG18" s="57">
        <f>DD18*(12/18)*1.06*'Oil and Gas Prices'!$C$18</f>
        <v>0</v>
      </c>
      <c r="DH18" s="284">
        <f>DE18*(12/18)*'Oil and Gas Prices'!$C$4</f>
        <v>966300</v>
      </c>
      <c r="DI18" s="284">
        <f>DG18+DH18</f>
        <v>966300</v>
      </c>
      <c r="DJ18" s="57">
        <f>(DG18+DH18)/(DA18+DB18)</f>
        <v>48315</v>
      </c>
      <c r="DK18" s="318"/>
    </row>
    <row r="19" spans="1:115" x14ac:dyDescent="0.25">
      <c r="A19" t="s">
        <v>156</v>
      </c>
      <c r="B19" t="s">
        <v>157</v>
      </c>
      <c r="D19" t="s">
        <v>112</v>
      </c>
      <c r="E19" t="s">
        <v>80</v>
      </c>
      <c r="F19">
        <v>77251</v>
      </c>
      <c r="G19" t="s">
        <v>62</v>
      </c>
      <c r="I19">
        <v>13</v>
      </c>
      <c r="J19" t="s">
        <v>63</v>
      </c>
      <c r="K19" t="s">
        <v>4133</v>
      </c>
      <c r="L19" t="s">
        <v>149</v>
      </c>
      <c r="M19">
        <v>10</v>
      </c>
      <c r="N19" t="s">
        <v>158</v>
      </c>
      <c r="O19" t="s">
        <v>156</v>
      </c>
      <c r="P19" t="s">
        <v>159</v>
      </c>
      <c r="Q19" t="s">
        <v>160</v>
      </c>
      <c r="R19" t="s">
        <v>161</v>
      </c>
      <c r="S19" t="s">
        <v>94</v>
      </c>
      <c r="T19" t="s">
        <v>162</v>
      </c>
      <c r="U19" t="s">
        <v>62</v>
      </c>
      <c r="V19">
        <v>8326361000</v>
      </c>
      <c r="W19" s="1">
        <v>13382000000</v>
      </c>
      <c r="X19">
        <v>141</v>
      </c>
      <c r="Y19" s="2">
        <v>4700</v>
      </c>
      <c r="Z19">
        <v>1959</v>
      </c>
      <c r="AA19" t="s">
        <v>163</v>
      </c>
      <c r="AB19" t="s">
        <v>164</v>
      </c>
      <c r="AC19" t="s">
        <v>165</v>
      </c>
      <c r="AD19" t="s">
        <v>99</v>
      </c>
      <c r="AE19">
        <v>1311</v>
      </c>
      <c r="AF19" t="s">
        <v>100</v>
      </c>
      <c r="AG19">
        <v>4924</v>
      </c>
      <c r="AH19" t="s">
        <v>166</v>
      </c>
      <c r="AI19">
        <v>13110101</v>
      </c>
      <c r="AJ19" t="s">
        <v>102</v>
      </c>
      <c r="AK19">
        <v>49240000</v>
      </c>
      <c r="AL19" t="s">
        <v>167</v>
      </c>
      <c r="AM19">
        <v>211120</v>
      </c>
      <c r="AN19" t="s">
        <v>104</v>
      </c>
      <c r="AO19">
        <v>221210</v>
      </c>
      <c r="AP19" t="s">
        <v>166</v>
      </c>
      <c r="AQ19" t="s">
        <v>168</v>
      </c>
      <c r="AR19" t="s">
        <v>169</v>
      </c>
      <c r="AS19" t="s">
        <v>170</v>
      </c>
      <c r="AT19" t="s">
        <v>76</v>
      </c>
      <c r="AU19" t="s">
        <v>80</v>
      </c>
      <c r="AV19" t="s">
        <v>62</v>
      </c>
      <c r="AW19" t="s">
        <v>169</v>
      </c>
      <c r="AX19" t="s">
        <v>170</v>
      </c>
      <c r="AY19" t="s">
        <v>80</v>
      </c>
      <c r="AZ19" t="s">
        <v>62</v>
      </c>
      <c r="BA19" t="s">
        <v>169</v>
      </c>
      <c r="BC19" t="s">
        <v>170</v>
      </c>
      <c r="BD19" t="s">
        <v>80</v>
      </c>
      <c r="BE19" t="s">
        <v>62</v>
      </c>
      <c r="BF19">
        <v>2</v>
      </c>
      <c r="BG19">
        <v>515</v>
      </c>
      <c r="BH19" s="4" t="s">
        <v>169</v>
      </c>
      <c r="BI19" s="4" t="s">
        <v>170</v>
      </c>
      <c r="BJ19" s="4" t="s">
        <v>4136</v>
      </c>
      <c r="BK19" s="4" t="s">
        <v>2394</v>
      </c>
      <c r="BL19" s="4" t="s">
        <v>112</v>
      </c>
      <c r="BM19" s="4" t="s">
        <v>94</v>
      </c>
      <c r="BN19" s="4" t="s">
        <v>2395</v>
      </c>
      <c r="BO19" s="4" t="s">
        <v>62</v>
      </c>
      <c r="BP19" s="4">
        <v>7132157000</v>
      </c>
      <c r="BQ19" s="5">
        <v>21232000000</v>
      </c>
      <c r="BR19" s="6">
        <v>1000</v>
      </c>
      <c r="BS19" s="6">
        <v>14400</v>
      </c>
      <c r="BT19" s="4">
        <v>1920</v>
      </c>
      <c r="BU19" s="4" t="s">
        <v>163</v>
      </c>
      <c r="BV19" s="4" t="s">
        <v>4137</v>
      </c>
      <c r="BW19" s="4" t="s">
        <v>98</v>
      </c>
      <c r="BX19" s="4" t="s">
        <v>99</v>
      </c>
      <c r="BY19" s="4">
        <v>1311</v>
      </c>
      <c r="BZ19" s="4" t="s">
        <v>100</v>
      </c>
      <c r="CA19" s="4">
        <v>1382</v>
      </c>
      <c r="CB19" s="4" t="s">
        <v>120</v>
      </c>
      <c r="CC19" s="4">
        <v>13110101</v>
      </c>
      <c r="CD19" s="4" t="s">
        <v>102</v>
      </c>
      <c r="CE19" s="4">
        <v>13820000</v>
      </c>
      <c r="CF19" s="4" t="s">
        <v>119</v>
      </c>
      <c r="CG19" s="4">
        <v>211120</v>
      </c>
      <c r="CH19" s="4" t="s">
        <v>104</v>
      </c>
      <c r="CI19" s="4">
        <v>213112</v>
      </c>
      <c r="CJ19" s="4" t="s">
        <v>74</v>
      </c>
      <c r="CK19" s="19">
        <f>IF(BQ19&gt;0,BQ19,W19)</f>
        <v>21232000000</v>
      </c>
      <c r="CL19" s="20">
        <f>IF(BS19&gt;0,BS19,Y19)</f>
        <v>14400</v>
      </c>
      <c r="CM19" s="34">
        <f>IF(CG19&gt;0,CG19,AM19)</f>
        <v>211120</v>
      </c>
      <c r="CN19" s="80">
        <f>IF($BH19="",1,COUNTIF($BH$3:$BH19,$BH19))</f>
        <v>1</v>
      </c>
      <c r="CP19" t="str">
        <f>IF($K19="Standard Match","Match",IF($K19="Name Only Match",IF($CO19="Yes","Match","Name Only Match"),"No Match"))</f>
        <v>Match</v>
      </c>
      <c r="CQ19" s="35" t="str">
        <f>IF(AND(CP19="Match",CK19&gt;0,CL19&gt;0),"Y","N")</f>
        <v>Y</v>
      </c>
      <c r="CS19" t="str">
        <f>IF($CQ19="Y",VLOOKUP($CM19,'SBA Size Standards'!$B$3:$G$57,MATCH('SBA Size Standards'!$G$3,'SBA Size Standards'!$B$3:$G$3,0),FALSE),"")</f>
        <v>Employment</v>
      </c>
      <c r="CT19" s="60" t="str">
        <f>IF(CQ19="Y",IF($CS19="Employment","N/A",VLOOKUP($CM19,'SBA Size Standards'!$B$3:$G$57,MATCH('SBA Size Standards'!$E$3,'SBA Size Standards'!$B$3:$G$3,0),FALSE)),"")</f>
        <v>N/A</v>
      </c>
      <c r="CU19" s="86">
        <f>IF($CQ19="Y",IF($CS19="Revenue","N/A",VLOOKUP($CM19,'SBA Size Standards'!$B$3:$G$57,MATCH('SBA Size Standards'!$F$3,'SBA Size Standards'!$B$3:$G$3,0),FALSE)),"")</f>
        <v>1250</v>
      </c>
      <c r="CV19" t="str">
        <f>IF($CQ19="Y",IF(OR(AND($CS19="Employment",$CL19&lt;$CU19),AND($CS19="Revenue",$CK19&lt;$CT19)),"YES","NO"),"")</f>
        <v>NO</v>
      </c>
      <c r="CW19" s="90" t="str">
        <f>IF($CQ19="Y",INDEX('SBA Size Standards'!$N$3:$N$12,MATCH($CK19,'SBA Size Standards'!$O$3:$O$12,1)),"")</f>
        <v>$1,000,000,001 -$125,000,000,000</v>
      </c>
      <c r="CX19" s="122" t="s">
        <v>4538</v>
      </c>
      <c r="CY19" s="122">
        <f>INDEX('NM O&amp;G Production'!$P$3:$P$537,MATCH(CX19,'NM O&amp;G Production'!$Q$3:$Q$537,0))</f>
        <v>13</v>
      </c>
      <c r="CZ19" s="122" t="str">
        <f>INDEX('NM O&amp;G Production'!$K$3:$O$537,MATCH($CY19,'NM O&amp;G Production'!$P$3:$P$537,0),MATCH(CZ$2,'NM O&amp;G Production'!$K$2:$O$2,0))</f>
        <v>No</v>
      </c>
      <c r="DA19" s="127">
        <f>INDEX('NM O&amp;G Production'!$K$3:$O$537,MATCH($CY19,'NM O&amp;G Production'!$P$3:$P$537,0),MATCH(DA$2,'NM O&amp;G Production'!$K$2:$O$2,0))</f>
        <v>0</v>
      </c>
      <c r="DB19" s="127">
        <f>INDEX('NM O&amp;G Production'!$K$3:$O$537,MATCH($CY19,'NM O&amp;G Production'!$P$3:$P$537,0),MATCH(DB$2,'NM O&amp;G Production'!$K$2:$O$2,0))</f>
        <v>0</v>
      </c>
      <c r="DC19" s="127"/>
      <c r="DD19" s="127">
        <f>INDEX('NM O&amp;G Production'!$K$3:$O$537,MATCH($CY19,'NM O&amp;G Production'!$P$3:$P$537,0),MATCH(DD$2,'NM O&amp;G Production'!$K$2:$O$2,0))</f>
        <v>0</v>
      </c>
      <c r="DE19" s="127">
        <f>INDEX('NM O&amp;G Production'!$K$3:$O$537,MATCH($CY19,'NM O&amp;G Production'!$P$3:$P$537,0),MATCH(DE$2,'NM O&amp;G Production'!$K$2:$O$2,0))</f>
        <v>0</v>
      </c>
      <c r="DF19" s="258" t="e">
        <f>CK19/(DB19+DA19)</f>
        <v>#DIV/0!</v>
      </c>
      <c r="DG19" s="57">
        <f>DD19*(12/18)*1.06*'Oil and Gas Prices'!$C$18</f>
        <v>0</v>
      </c>
      <c r="DH19" s="284">
        <f>DE19*(12/18)*'Oil and Gas Prices'!$C$4</f>
        <v>0</v>
      </c>
      <c r="DI19" s="284"/>
      <c r="DJ19" s="57" t="e">
        <f>(DG19+DH19)/(DA19+DB19)</f>
        <v>#DIV/0!</v>
      </c>
      <c r="DK19" s="18" t="e">
        <f>CK19/DI19</f>
        <v>#DIV/0!</v>
      </c>
    </row>
    <row r="20" spans="1:115" x14ac:dyDescent="0.25">
      <c r="A20" t="s">
        <v>2418</v>
      </c>
      <c r="B20" t="s">
        <v>2391</v>
      </c>
      <c r="D20" t="s">
        <v>112</v>
      </c>
      <c r="E20" t="s">
        <v>80</v>
      </c>
      <c r="F20">
        <v>77046</v>
      </c>
      <c r="G20" t="s">
        <v>62</v>
      </c>
      <c r="I20">
        <v>345</v>
      </c>
      <c r="J20" t="s">
        <v>63</v>
      </c>
      <c r="K20" t="s">
        <v>4133</v>
      </c>
      <c r="L20" t="s">
        <v>64</v>
      </c>
      <c r="M20">
        <v>10</v>
      </c>
      <c r="N20" t="s">
        <v>2419</v>
      </c>
      <c r="O20" t="s">
        <v>2420</v>
      </c>
      <c r="Q20" t="s">
        <v>2394</v>
      </c>
      <c r="R20" t="s">
        <v>112</v>
      </c>
      <c r="S20" t="s">
        <v>94</v>
      </c>
      <c r="T20" t="s">
        <v>2395</v>
      </c>
      <c r="U20" t="s">
        <v>62</v>
      </c>
      <c r="V20">
        <v>7132157000</v>
      </c>
      <c r="X20">
        <v>125</v>
      </c>
      <c r="Y20">
        <v>0</v>
      </c>
      <c r="AA20" t="s">
        <v>96</v>
      </c>
      <c r="AB20" t="s">
        <v>2421</v>
      </c>
      <c r="AC20" t="s">
        <v>98</v>
      </c>
      <c r="AD20" t="s">
        <v>99</v>
      </c>
      <c r="AE20">
        <v>1311</v>
      </c>
      <c r="AF20" t="s">
        <v>100</v>
      </c>
      <c r="AI20">
        <v>13110101</v>
      </c>
      <c r="AJ20" t="s">
        <v>102</v>
      </c>
      <c r="AM20">
        <v>211120</v>
      </c>
      <c r="AN20" t="s">
        <v>104</v>
      </c>
      <c r="AQ20" t="s">
        <v>75</v>
      </c>
      <c r="AR20" t="s">
        <v>169</v>
      </c>
      <c r="AS20" t="s">
        <v>170</v>
      </c>
      <c r="AT20" t="s">
        <v>76</v>
      </c>
      <c r="AU20" t="s">
        <v>80</v>
      </c>
      <c r="AV20" t="s">
        <v>62</v>
      </c>
      <c r="AW20" t="s">
        <v>169</v>
      </c>
      <c r="AX20" t="s">
        <v>170</v>
      </c>
      <c r="AY20" t="s">
        <v>80</v>
      </c>
      <c r="AZ20" t="s">
        <v>62</v>
      </c>
      <c r="BB20" t="s">
        <v>2422</v>
      </c>
      <c r="BC20" t="s">
        <v>2420</v>
      </c>
      <c r="BD20" t="s">
        <v>80</v>
      </c>
      <c r="BE20" t="s">
        <v>62</v>
      </c>
      <c r="BF20">
        <v>2</v>
      </c>
      <c r="BG20">
        <v>515</v>
      </c>
      <c r="BH20" s="4" t="s">
        <v>169</v>
      </c>
      <c r="BI20" s="4" t="s">
        <v>170</v>
      </c>
      <c r="BJ20" s="4" t="s">
        <v>4136</v>
      </c>
      <c r="BK20" s="4" t="s">
        <v>2394</v>
      </c>
      <c r="BL20" s="4" t="s">
        <v>112</v>
      </c>
      <c r="BM20" s="4" t="s">
        <v>94</v>
      </c>
      <c r="BN20" s="4" t="s">
        <v>2395</v>
      </c>
      <c r="BO20" s="4" t="s">
        <v>62</v>
      </c>
      <c r="BP20" s="4">
        <v>7132157000</v>
      </c>
      <c r="BQ20" s="5">
        <v>21232000000</v>
      </c>
      <c r="BR20" s="6">
        <v>1000</v>
      </c>
      <c r="BS20" s="6">
        <v>14400</v>
      </c>
      <c r="BT20" s="4">
        <v>1920</v>
      </c>
      <c r="BU20" s="4" t="s">
        <v>163</v>
      </c>
      <c r="BV20" s="4" t="s">
        <v>4137</v>
      </c>
      <c r="BW20" s="4" t="s">
        <v>98</v>
      </c>
      <c r="BX20" s="4" t="s">
        <v>99</v>
      </c>
      <c r="BY20" s="4">
        <v>1311</v>
      </c>
      <c r="BZ20" s="4" t="s">
        <v>100</v>
      </c>
      <c r="CA20" s="4">
        <v>1382</v>
      </c>
      <c r="CB20" s="4" t="s">
        <v>120</v>
      </c>
      <c r="CC20" s="4">
        <v>13110101</v>
      </c>
      <c r="CD20" s="4" t="s">
        <v>102</v>
      </c>
      <c r="CE20" s="4">
        <v>13820000</v>
      </c>
      <c r="CF20" s="4" t="s">
        <v>119</v>
      </c>
      <c r="CG20" s="4">
        <v>211120</v>
      </c>
      <c r="CH20" s="4" t="s">
        <v>104</v>
      </c>
      <c r="CI20" s="4">
        <v>213112</v>
      </c>
      <c r="CJ20" s="4" t="s">
        <v>74</v>
      </c>
      <c r="CK20" s="19">
        <f>IF(BQ20&gt;0,BQ20,W20)</f>
        <v>21232000000</v>
      </c>
      <c r="CL20" s="20">
        <f>IF(BS20&gt;0,BS20,Y20)</f>
        <v>14400</v>
      </c>
      <c r="CM20" s="34">
        <f>IF(CG20&gt;0,CG20,AM20)</f>
        <v>211120</v>
      </c>
      <c r="CN20" s="80">
        <f>IF($BH20="",1,COUNTIF($BH$3:$BH20,$BH20))</f>
        <v>2</v>
      </c>
      <c r="CP20" t="str">
        <f>IF($K20="Standard Match","Match",IF($K20="Name Only Match",IF($CO20="Yes","Match","Name Only Match"),"No Match"))</f>
        <v>Match</v>
      </c>
      <c r="CQ20" s="35" t="str">
        <f>IF(AND(CP20="Match",CK20&gt;0,CL20&gt;0),"Y","N")</f>
        <v>Y</v>
      </c>
      <c r="CS20" t="str">
        <f>IF($CQ20="Y",VLOOKUP($CM20,'SBA Size Standards'!$B$3:$G$57,MATCH('SBA Size Standards'!$G$3,'SBA Size Standards'!$B$3:$G$3,0),FALSE),"")</f>
        <v>Employment</v>
      </c>
      <c r="CT20" s="60" t="str">
        <f>IF(CQ20="Y",IF($CS20="Employment","N/A",VLOOKUP($CM20,'SBA Size Standards'!$B$3:$G$57,MATCH('SBA Size Standards'!$E$3,'SBA Size Standards'!$B$3:$G$3,0),FALSE)),"")</f>
        <v>N/A</v>
      </c>
      <c r="CU20" s="86">
        <f>IF($CQ20="Y",IF($CS20="Revenue","N/A",VLOOKUP($CM20,'SBA Size Standards'!$B$3:$G$57,MATCH('SBA Size Standards'!$F$3,'SBA Size Standards'!$B$3:$G$3,0),FALSE)),"")</f>
        <v>1250</v>
      </c>
      <c r="CV20" t="str">
        <f>IF($CQ20="Y",IF(OR(AND($CS20="Employment",$CL20&lt;$CU20),AND($CS20="Revenue",$CK20&lt;$CT20)),"YES","NO"),"")</f>
        <v>NO</v>
      </c>
      <c r="CW20" s="90" t="str">
        <f>IF($CQ20="Y",INDEX('SBA Size Standards'!$N$3:$N$12,MATCH($CK20,'SBA Size Standards'!$O$3:$O$12,1)),"")</f>
        <v>$1,000,000,001 -$125,000,000,000</v>
      </c>
      <c r="CX20" s="122" t="s">
        <v>4694</v>
      </c>
      <c r="CY20" s="122">
        <f>INDEX('NM O&amp;G Production'!$P$3:$P$537,MATCH(CX20,'NM O&amp;G Production'!$Q$3:$Q$537,0))</f>
        <v>345</v>
      </c>
      <c r="CZ20" s="122" t="str">
        <f>INDEX('NM O&amp;G Production'!$O$3:$O$537,MATCH(CY20,'NM O&amp;G Production'!$P$3:$P$537,0))</f>
        <v>Yes</v>
      </c>
      <c r="DA20" s="127">
        <f>INDEX('NM O&amp;G Production'!$K$3:$O$537,MATCH($CY20,'NM O&amp;G Production'!$P$3:$P$537,0),MATCH(DA$2,'NM O&amp;G Production'!$K$2:$O$2,0))</f>
        <v>675</v>
      </c>
      <c r="DB20" s="127">
        <f>INDEX('NM O&amp;G Production'!$K$3:$O$537,MATCH($CY20,'NM O&amp;G Production'!$P$3:$P$537,0),MATCH(DB$2,'NM O&amp;G Production'!$K$2:$O$2,0))</f>
        <v>958</v>
      </c>
      <c r="DC20" s="127">
        <f>DA20+DB20</f>
        <v>1633</v>
      </c>
      <c r="DD20" s="127">
        <f>INDEX('NM O&amp;G Production'!$K$3:$O$537,MATCH($CY20,'NM O&amp;G Production'!$P$3:$P$537,0),MATCH(DD$2,'NM O&amp;G Production'!$K$2:$O$2,0))</f>
        <v>173930415</v>
      </c>
      <c r="DE20" s="127">
        <f>INDEX('NM O&amp;G Production'!$K$3:$O$537,MATCH($CY20,'NM O&amp;G Production'!$P$3:$P$537,0),MATCH(DE$2,'NM O&amp;G Production'!$K$2:$O$2,0))</f>
        <v>56203515</v>
      </c>
      <c r="DF20" s="258">
        <f>CK20/(DB20+DA20)</f>
        <v>13001837.109614206</v>
      </c>
      <c r="DG20" s="57">
        <f>DD20*(12/18)*1.06*'Oil and Gas Prices'!$C$18</f>
        <v>293756875.57400006</v>
      </c>
      <c r="DH20" s="284">
        <f>DE20*(12/18)*'Oil and Gas Prices'!$C$4</f>
        <v>1686105450</v>
      </c>
      <c r="DI20" s="284">
        <f>DG20+DH20</f>
        <v>1979862325.5740001</v>
      </c>
      <c r="DJ20" s="57">
        <f>(DG20+DH20)/(DA20+DB20)</f>
        <v>1212408.0377060624</v>
      </c>
      <c r="DK20" s="318"/>
    </row>
    <row r="21" spans="1:115" x14ac:dyDescent="0.25">
      <c r="A21" t="s">
        <v>2390</v>
      </c>
      <c r="B21" t="s">
        <v>2391</v>
      </c>
      <c r="D21" t="s">
        <v>112</v>
      </c>
      <c r="E21" t="s">
        <v>80</v>
      </c>
      <c r="F21">
        <v>77046</v>
      </c>
      <c r="G21" t="s">
        <v>62</v>
      </c>
      <c r="I21">
        <v>339</v>
      </c>
      <c r="J21" t="s">
        <v>63</v>
      </c>
      <c r="K21" t="s">
        <v>4133</v>
      </c>
      <c r="L21" t="s">
        <v>64</v>
      </c>
      <c r="M21">
        <v>10</v>
      </c>
      <c r="N21" t="s">
        <v>2392</v>
      </c>
      <c r="O21" t="s">
        <v>2393</v>
      </c>
      <c r="Q21" t="s">
        <v>2394</v>
      </c>
      <c r="R21" t="s">
        <v>112</v>
      </c>
      <c r="S21" t="s">
        <v>94</v>
      </c>
      <c r="T21" t="s">
        <v>2395</v>
      </c>
      <c r="U21" t="s">
        <v>62</v>
      </c>
      <c r="V21">
        <v>7132157000</v>
      </c>
      <c r="W21" s="1">
        <v>1360307559</v>
      </c>
      <c r="X21">
        <v>250</v>
      </c>
      <c r="Y21">
        <v>900</v>
      </c>
      <c r="Z21">
        <v>1997</v>
      </c>
      <c r="AA21" t="s">
        <v>163</v>
      </c>
      <c r="AB21" t="s">
        <v>2396</v>
      </c>
      <c r="AC21" t="s">
        <v>98</v>
      </c>
      <c r="AD21" t="s">
        <v>119</v>
      </c>
      <c r="AE21">
        <v>1382</v>
      </c>
      <c r="AF21" t="s">
        <v>120</v>
      </c>
      <c r="AG21">
        <v>1311</v>
      </c>
      <c r="AH21" t="s">
        <v>100</v>
      </c>
      <c r="AI21">
        <v>13820000</v>
      </c>
      <c r="AJ21" t="s">
        <v>119</v>
      </c>
      <c r="AK21">
        <v>13110101</v>
      </c>
      <c r="AL21" t="s">
        <v>102</v>
      </c>
      <c r="AM21">
        <v>213112</v>
      </c>
      <c r="AN21" t="s">
        <v>74</v>
      </c>
      <c r="AO21">
        <v>211120</v>
      </c>
      <c r="AP21" t="s">
        <v>104</v>
      </c>
      <c r="AQ21" t="s">
        <v>168</v>
      </c>
      <c r="AR21" t="s">
        <v>169</v>
      </c>
      <c r="AS21" t="s">
        <v>170</v>
      </c>
      <c r="AT21" t="s">
        <v>76</v>
      </c>
      <c r="AU21" t="s">
        <v>80</v>
      </c>
      <c r="AV21" t="s">
        <v>62</v>
      </c>
      <c r="AW21" t="s">
        <v>169</v>
      </c>
      <c r="AX21" t="s">
        <v>170</v>
      </c>
      <c r="AY21" t="s">
        <v>80</v>
      </c>
      <c r="AZ21" t="s">
        <v>62</v>
      </c>
      <c r="BA21" t="s">
        <v>169</v>
      </c>
      <c r="BC21" t="s">
        <v>170</v>
      </c>
      <c r="BD21" t="s">
        <v>80</v>
      </c>
      <c r="BE21" t="s">
        <v>62</v>
      </c>
      <c r="BF21">
        <v>2</v>
      </c>
      <c r="BG21">
        <v>515</v>
      </c>
      <c r="BH21" s="4" t="s">
        <v>169</v>
      </c>
      <c r="BI21" s="4" t="s">
        <v>170</v>
      </c>
      <c r="BJ21" s="4" t="s">
        <v>4136</v>
      </c>
      <c r="BK21" s="4" t="s">
        <v>2394</v>
      </c>
      <c r="BL21" s="4" t="s">
        <v>112</v>
      </c>
      <c r="BM21" s="4" t="s">
        <v>94</v>
      </c>
      <c r="BN21" s="4" t="s">
        <v>2395</v>
      </c>
      <c r="BO21" s="4" t="s">
        <v>62</v>
      </c>
      <c r="BP21" s="4">
        <v>7132157000</v>
      </c>
      <c r="BQ21" s="5">
        <v>21232000000</v>
      </c>
      <c r="BR21" s="6">
        <v>1000</v>
      </c>
      <c r="BS21" s="6">
        <v>14400</v>
      </c>
      <c r="BT21" s="4">
        <v>1920</v>
      </c>
      <c r="BU21" s="4" t="s">
        <v>163</v>
      </c>
      <c r="BV21" s="4" t="s">
        <v>4137</v>
      </c>
      <c r="BW21" s="4" t="s">
        <v>98</v>
      </c>
      <c r="BX21" s="4" t="s">
        <v>99</v>
      </c>
      <c r="BY21" s="4">
        <v>1311</v>
      </c>
      <c r="BZ21" s="4" t="s">
        <v>100</v>
      </c>
      <c r="CA21" s="4">
        <v>1382</v>
      </c>
      <c r="CB21" s="4" t="s">
        <v>120</v>
      </c>
      <c r="CC21" s="4">
        <v>13110101</v>
      </c>
      <c r="CD21" s="4" t="s">
        <v>102</v>
      </c>
      <c r="CE21" s="4">
        <v>13820000</v>
      </c>
      <c r="CF21" s="4" t="s">
        <v>119</v>
      </c>
      <c r="CG21" s="4">
        <v>211120</v>
      </c>
      <c r="CH21" s="4" t="s">
        <v>104</v>
      </c>
      <c r="CI21" s="4">
        <v>213112</v>
      </c>
      <c r="CJ21" s="4" t="s">
        <v>74</v>
      </c>
      <c r="CK21" s="19">
        <f>IF(BQ21&gt;0,BQ21,W21)</f>
        <v>21232000000</v>
      </c>
      <c r="CL21" s="20">
        <f>IF(BS21&gt;0,BS21,Y21)</f>
        <v>14400</v>
      </c>
      <c r="CM21" s="34">
        <f>IF(CG21&gt;0,CG21,AM21)</f>
        <v>211120</v>
      </c>
      <c r="CN21" s="80">
        <f>IF($BH21="",1,COUNTIF($BH$3:$BH21,$BH21))</f>
        <v>3</v>
      </c>
      <c r="CP21" t="str">
        <f>IF($K21="Standard Match","Match",IF($K21="Name Only Match",IF($CO21="Yes","Match","Name Only Match"),"No Match"))</f>
        <v>Match</v>
      </c>
      <c r="CQ21" s="35" t="str">
        <f>IF(AND(CP21="Match",CK21&gt;0,CL21&gt;0),"Y","N")</f>
        <v>Y</v>
      </c>
      <c r="CS21" t="str">
        <f>IF($CQ21="Y",VLOOKUP($CM21,'SBA Size Standards'!$B$3:$G$57,MATCH('SBA Size Standards'!$G$3,'SBA Size Standards'!$B$3:$G$3,0),FALSE),"")</f>
        <v>Employment</v>
      </c>
      <c r="CT21" s="60" t="str">
        <f>IF(CQ21="Y",IF($CS21="Employment","N/A",VLOOKUP($CM21,'SBA Size Standards'!$B$3:$G$57,MATCH('SBA Size Standards'!$E$3,'SBA Size Standards'!$B$3:$G$3,0),FALSE)),"")</f>
        <v>N/A</v>
      </c>
      <c r="CU21" s="86">
        <f>IF($CQ21="Y",IF($CS21="Revenue","N/A",VLOOKUP($CM21,'SBA Size Standards'!$B$3:$G$57,MATCH('SBA Size Standards'!$F$3,'SBA Size Standards'!$B$3:$G$3,0),FALSE)),"")</f>
        <v>1250</v>
      </c>
      <c r="CV21" t="str">
        <f>IF($CQ21="Y",IF(OR(AND($CS21="Employment",$CL21&lt;$CU21),AND($CS21="Revenue",$CK21&lt;$CT21)),"YES","NO"),"")</f>
        <v>NO</v>
      </c>
      <c r="CW21" s="90" t="str">
        <f>IF($CQ21="Y",INDEX('SBA Size Standards'!$N$3:$N$12,MATCH($CK21,'SBA Size Standards'!$O$3:$O$12,1)),"")</f>
        <v>$1,000,000,001 -$125,000,000,000</v>
      </c>
      <c r="CX21" s="122" t="s">
        <v>5059</v>
      </c>
      <c r="CY21" s="122">
        <f>INDEX('NM O&amp;G Production'!$P$3:$P$537,MATCH(CX21,'NM O&amp;G Production'!$Q$3:$Q$537,0))</f>
        <v>339</v>
      </c>
      <c r="CZ21" s="122" t="str">
        <f>INDEX('NM O&amp;G Production'!$O$3:$O$537,MATCH(CY21,'NM O&amp;G Production'!$P$3:$P$537,0))</f>
        <v>Yes</v>
      </c>
      <c r="DA21" s="127">
        <f>INDEX('NM O&amp;G Production'!$K$3:$O$537,MATCH($CY21,'NM O&amp;G Production'!$P$3:$P$537,0),MATCH(DA$2,'NM O&amp;G Production'!$K$2:$O$2,0))</f>
        <v>244</v>
      </c>
      <c r="DB21" s="127">
        <f>INDEX('NM O&amp;G Production'!$K$3:$O$537,MATCH($CY21,'NM O&amp;G Production'!$P$3:$P$537,0),MATCH(DB$2,'NM O&amp;G Production'!$K$2:$O$2,0))</f>
        <v>83</v>
      </c>
      <c r="DC21" s="127">
        <f>DA21+DB21</f>
        <v>327</v>
      </c>
      <c r="DD21" s="127">
        <f>INDEX('NM O&amp;G Production'!$K$3:$O$537,MATCH($CY21,'NM O&amp;G Production'!$P$3:$P$537,0),MATCH(DD$2,'NM O&amp;G Production'!$K$2:$O$2,0))</f>
        <v>75407065</v>
      </c>
      <c r="DE21" s="127">
        <f>INDEX('NM O&amp;G Production'!$K$3:$O$537,MATCH($CY21,'NM O&amp;G Production'!$P$3:$P$537,0),MATCH(DE$2,'NM O&amp;G Production'!$K$2:$O$2,0))</f>
        <v>7986523</v>
      </c>
      <c r="DF21" s="258">
        <f>CK21/(DB21+DA21)</f>
        <v>64929663.608562693</v>
      </c>
      <c r="DG21" s="57">
        <f>DD21*(12/18)*1.06*'Oil and Gas Prices'!$C$18</f>
        <v>127357505.64733334</v>
      </c>
      <c r="DH21" s="284">
        <f>DE21*(12/18)*'Oil and Gas Prices'!$C$4</f>
        <v>239595689.99999997</v>
      </c>
      <c r="DI21" s="284">
        <f>DG21+DH21</f>
        <v>366953195.64733332</v>
      </c>
      <c r="DJ21" s="57">
        <f>(DG21+DH21)/(DA21+DB21)</f>
        <v>1122181.0264444444</v>
      </c>
      <c r="DK21" s="318"/>
    </row>
    <row r="22" spans="1:115" x14ac:dyDescent="0.25">
      <c r="A22" t="s">
        <v>767</v>
      </c>
      <c r="B22" t="s">
        <v>768</v>
      </c>
      <c r="D22" t="s">
        <v>112</v>
      </c>
      <c r="E22" t="s">
        <v>80</v>
      </c>
      <c r="F22">
        <v>77079</v>
      </c>
      <c r="G22" t="s">
        <v>62</v>
      </c>
      <c r="I22">
        <v>95</v>
      </c>
      <c r="J22" t="s">
        <v>63</v>
      </c>
      <c r="K22" t="s">
        <v>4133</v>
      </c>
      <c r="L22" t="s">
        <v>247</v>
      </c>
      <c r="M22">
        <v>10</v>
      </c>
      <c r="N22" t="s">
        <v>769</v>
      </c>
      <c r="O22" t="s">
        <v>770</v>
      </c>
      <c r="Q22" t="s">
        <v>771</v>
      </c>
      <c r="R22" t="s">
        <v>112</v>
      </c>
      <c r="S22" t="s">
        <v>94</v>
      </c>
      <c r="T22" t="s">
        <v>772</v>
      </c>
      <c r="U22" t="s">
        <v>62</v>
      </c>
      <c r="V22">
        <v>2812931000</v>
      </c>
      <c r="W22" s="1">
        <v>12969367253</v>
      </c>
      <c r="X22" s="2">
        <v>3700</v>
      </c>
      <c r="Y22" s="2">
        <v>8000</v>
      </c>
      <c r="Z22">
        <v>1917</v>
      </c>
      <c r="AA22" t="s">
        <v>163</v>
      </c>
      <c r="AB22" t="s">
        <v>773</v>
      </c>
      <c r="AC22" t="s">
        <v>133</v>
      </c>
      <c r="AD22" t="s">
        <v>119</v>
      </c>
      <c r="AE22">
        <v>1382</v>
      </c>
      <c r="AF22" t="s">
        <v>120</v>
      </c>
      <c r="AG22">
        <v>2911</v>
      </c>
      <c r="AH22" t="s">
        <v>774</v>
      </c>
      <c r="AI22">
        <v>13820000</v>
      </c>
      <c r="AJ22" t="s">
        <v>119</v>
      </c>
      <c r="AK22">
        <v>29110101</v>
      </c>
      <c r="AL22" t="s">
        <v>775</v>
      </c>
      <c r="AM22">
        <v>213112</v>
      </c>
      <c r="AN22" t="s">
        <v>74</v>
      </c>
      <c r="AO22">
        <v>324110</v>
      </c>
      <c r="AP22" t="s">
        <v>776</v>
      </c>
      <c r="AQ22" t="s">
        <v>168</v>
      </c>
      <c r="AR22" t="s">
        <v>724</v>
      </c>
      <c r="AS22" t="s">
        <v>725</v>
      </c>
      <c r="AT22" t="s">
        <v>76</v>
      </c>
      <c r="AU22" t="s">
        <v>80</v>
      </c>
      <c r="AV22" t="s">
        <v>62</v>
      </c>
      <c r="AW22" t="s">
        <v>724</v>
      </c>
      <c r="AX22" t="s">
        <v>725</v>
      </c>
      <c r="AY22" t="s">
        <v>80</v>
      </c>
      <c r="AZ22" t="s">
        <v>62</v>
      </c>
      <c r="BA22" t="s">
        <v>724</v>
      </c>
      <c r="BC22" t="s">
        <v>725</v>
      </c>
      <c r="BD22" t="s">
        <v>80</v>
      </c>
      <c r="BE22" t="s">
        <v>62</v>
      </c>
      <c r="BF22">
        <v>2</v>
      </c>
      <c r="BG22">
        <v>810</v>
      </c>
      <c r="BH22" s="4" t="s">
        <v>724</v>
      </c>
      <c r="BI22" s="4" t="s">
        <v>725</v>
      </c>
      <c r="BK22" s="4" t="s">
        <v>771</v>
      </c>
      <c r="BL22" s="4" t="s">
        <v>112</v>
      </c>
      <c r="BM22" s="4" t="s">
        <v>94</v>
      </c>
      <c r="BN22" s="4" t="s">
        <v>772</v>
      </c>
      <c r="BO22" s="4" t="s">
        <v>62</v>
      </c>
      <c r="BP22" s="4">
        <v>2812931000</v>
      </c>
      <c r="BQ22" s="5">
        <v>19256000000</v>
      </c>
      <c r="BR22" s="6">
        <v>3000</v>
      </c>
      <c r="BS22" s="6">
        <v>10800</v>
      </c>
      <c r="BT22" s="4">
        <v>1875</v>
      </c>
      <c r="BU22" s="4" t="s">
        <v>163</v>
      </c>
      <c r="BV22" s="4" t="s">
        <v>773</v>
      </c>
      <c r="BW22" s="4" t="s">
        <v>165</v>
      </c>
      <c r="BX22" s="4" t="s">
        <v>99</v>
      </c>
      <c r="BY22" s="4">
        <v>1311</v>
      </c>
      <c r="BZ22" s="4" t="s">
        <v>100</v>
      </c>
      <c r="CA22" s="4">
        <v>1382</v>
      </c>
      <c r="CB22" s="4" t="s">
        <v>120</v>
      </c>
      <c r="CC22" s="4">
        <v>13110000</v>
      </c>
      <c r="CD22" s="4" t="s">
        <v>276</v>
      </c>
      <c r="CE22" s="4">
        <v>13820000</v>
      </c>
      <c r="CF22" s="4" t="s">
        <v>119</v>
      </c>
      <c r="CG22" s="4">
        <v>211120</v>
      </c>
      <c r="CH22" s="4" t="s">
        <v>104</v>
      </c>
      <c r="CI22" s="4">
        <v>213112</v>
      </c>
      <c r="CJ22" s="4" t="s">
        <v>74</v>
      </c>
      <c r="CK22" s="19">
        <f>IF(BQ22&gt;0,BQ22,W22)</f>
        <v>19256000000</v>
      </c>
      <c r="CL22" s="20">
        <f>IF(BS22&gt;0,BS22,Y22)</f>
        <v>10800</v>
      </c>
      <c r="CM22" s="34">
        <f>IF(CG22&gt;0,CG22,AM22)</f>
        <v>211120</v>
      </c>
      <c r="CN22" s="80">
        <f>IF($BH22="",1,COUNTIF($BH$3:$BH22,$BH22))</f>
        <v>1</v>
      </c>
      <c r="CP22" t="str">
        <f>IF($K22="Standard Match","Match",IF($K22="Name Only Match",IF($CO22="Yes","Match","Name Only Match"),"No Match"))</f>
        <v>Match</v>
      </c>
      <c r="CQ22" s="35" t="str">
        <f>IF(AND(CP22="Match",CK22&gt;0,CL22&gt;0),"Y","N")</f>
        <v>Y</v>
      </c>
      <c r="CS22" t="str">
        <f>IF($CQ22="Y",VLOOKUP($CM22,'SBA Size Standards'!$B$3:$G$57,MATCH('SBA Size Standards'!$G$3,'SBA Size Standards'!$B$3:$G$3,0),FALSE),"")</f>
        <v>Employment</v>
      </c>
      <c r="CT22" s="60" t="str">
        <f>IF(CQ22="Y",IF($CS22="Employment","N/A",VLOOKUP($CM22,'SBA Size Standards'!$B$3:$G$57,MATCH('SBA Size Standards'!$E$3,'SBA Size Standards'!$B$3:$G$3,0),FALSE)),"")</f>
        <v>N/A</v>
      </c>
      <c r="CU22" s="86">
        <f>IF($CQ22="Y",IF($CS22="Revenue","N/A",VLOOKUP($CM22,'SBA Size Standards'!$B$3:$G$57,MATCH('SBA Size Standards'!$F$3,'SBA Size Standards'!$B$3:$G$3,0),FALSE)),"")</f>
        <v>1250</v>
      </c>
      <c r="CV22" t="str">
        <f>IF($CQ22="Y",IF(OR(AND($CS22="Employment",$CL22&lt;$CU22),AND($CS22="Revenue",$CK22&lt;$CT22)),"YES","NO"),"")</f>
        <v>NO</v>
      </c>
      <c r="CW22" s="90" t="str">
        <f>IF($CQ22="Y",INDEX('SBA Size Standards'!$N$3:$N$12,MATCH($CK22,'SBA Size Standards'!$O$3:$O$12,1)),"")</f>
        <v>$1,000,000,001 -$125,000,000,000</v>
      </c>
      <c r="CX22" s="122" t="s">
        <v>4577</v>
      </c>
      <c r="CY22" s="122">
        <f>INDEX('NM O&amp;G Production'!$P$3:$P$537,MATCH(CX22,'NM O&amp;G Production'!$Q$3:$Q$537,0))</f>
        <v>95</v>
      </c>
      <c r="CZ22" s="122" t="str">
        <f>INDEX('NM O&amp;G Production'!$O$3:$O$537,MATCH(CY22,'NM O&amp;G Production'!$P$3:$P$537,0))</f>
        <v>No</v>
      </c>
      <c r="DA22" s="127">
        <f>INDEX('NM O&amp;G Production'!$K$3:$O$537,MATCH($CY22,'NM O&amp;G Production'!$P$3:$P$537,0),MATCH(DA$2,'NM O&amp;G Production'!$K$2:$O$2,0))</f>
        <v>0</v>
      </c>
      <c r="DB22" s="127">
        <f>INDEX('NM O&amp;G Production'!$K$3:$O$537,MATCH($CY22,'NM O&amp;G Production'!$P$3:$P$537,0),MATCH(DB$2,'NM O&amp;G Production'!$K$2:$O$2,0))</f>
        <v>0</v>
      </c>
      <c r="DC22" s="127"/>
      <c r="DD22" s="127">
        <f>INDEX('NM O&amp;G Production'!$K$3:$O$537,MATCH($CY22,'NM O&amp;G Production'!$P$3:$P$537,0),MATCH(DD$2,'NM O&amp;G Production'!$K$2:$O$2,0))</f>
        <v>0</v>
      </c>
      <c r="DE22" s="127">
        <f>INDEX('NM O&amp;G Production'!$K$3:$O$537,MATCH($CY22,'NM O&amp;G Production'!$P$3:$P$537,0),MATCH(DE$2,'NM O&amp;G Production'!$K$2:$O$2,0))</f>
        <v>0</v>
      </c>
      <c r="DF22" s="258" t="e">
        <f>CK22/(DB22+DA22)</f>
        <v>#DIV/0!</v>
      </c>
      <c r="DG22" s="57">
        <f>DD22*(12/18)*1.06*'Oil and Gas Prices'!$C$18</f>
        <v>0</v>
      </c>
      <c r="DH22" s="284">
        <f>DE22*(12/18)*'Oil and Gas Prices'!$C$4</f>
        <v>0</v>
      </c>
      <c r="DI22" s="284"/>
      <c r="DJ22" s="57" t="e">
        <f>(DG22+DH22)/(DA22+DB22)</f>
        <v>#DIV/0!</v>
      </c>
      <c r="DK22" s="18" t="e">
        <f>CK22/DI22</f>
        <v>#DIV/0!</v>
      </c>
    </row>
    <row r="23" spans="1:115" x14ac:dyDescent="0.25">
      <c r="A23" t="s">
        <v>728</v>
      </c>
      <c r="B23" t="s">
        <v>729</v>
      </c>
      <c r="D23" t="s">
        <v>153</v>
      </c>
      <c r="E23" t="s">
        <v>80</v>
      </c>
      <c r="F23">
        <v>79702</v>
      </c>
      <c r="G23" t="s">
        <v>62</v>
      </c>
      <c r="I23">
        <v>90</v>
      </c>
      <c r="J23" t="s">
        <v>63</v>
      </c>
      <c r="K23" t="s">
        <v>4133</v>
      </c>
      <c r="L23" t="s">
        <v>279</v>
      </c>
      <c r="M23">
        <v>8</v>
      </c>
      <c r="N23" t="s">
        <v>730</v>
      </c>
      <c r="O23" t="s">
        <v>731</v>
      </c>
      <c r="Q23" t="s">
        <v>719</v>
      </c>
      <c r="R23" t="s">
        <v>153</v>
      </c>
      <c r="S23" t="s">
        <v>94</v>
      </c>
      <c r="T23" t="s">
        <v>722</v>
      </c>
      <c r="U23" t="s">
        <v>62</v>
      </c>
      <c r="V23">
        <v>4326837443</v>
      </c>
      <c r="W23" s="1">
        <v>108011</v>
      </c>
      <c r="X23">
        <v>39</v>
      </c>
      <c r="Y23">
        <v>39</v>
      </c>
      <c r="Z23">
        <v>2013</v>
      </c>
      <c r="AA23" t="s">
        <v>70</v>
      </c>
      <c r="AB23" t="s">
        <v>732</v>
      </c>
      <c r="AC23" t="s">
        <v>231</v>
      </c>
      <c r="AD23" t="s">
        <v>733</v>
      </c>
      <c r="AE23">
        <v>7812</v>
      </c>
      <c r="AF23" t="s">
        <v>734</v>
      </c>
      <c r="AI23">
        <v>78120000</v>
      </c>
      <c r="AJ23" t="s">
        <v>735</v>
      </c>
      <c r="AM23">
        <v>512110</v>
      </c>
      <c r="AN23" t="s">
        <v>734</v>
      </c>
      <c r="AQ23" t="s">
        <v>168</v>
      </c>
      <c r="AR23" t="s">
        <v>724</v>
      </c>
      <c r="AS23" t="s">
        <v>725</v>
      </c>
      <c r="AT23" t="s">
        <v>76</v>
      </c>
      <c r="AU23" t="s">
        <v>80</v>
      </c>
      <c r="AV23" t="s">
        <v>62</v>
      </c>
      <c r="AW23" t="s">
        <v>724</v>
      </c>
      <c r="AX23" t="s">
        <v>725</v>
      </c>
      <c r="AY23" t="s">
        <v>80</v>
      </c>
      <c r="AZ23" t="s">
        <v>62</v>
      </c>
      <c r="BA23" t="s">
        <v>726</v>
      </c>
      <c r="BC23" t="s">
        <v>727</v>
      </c>
      <c r="BD23" t="s">
        <v>80</v>
      </c>
      <c r="BE23" t="s">
        <v>62</v>
      </c>
      <c r="BF23">
        <v>3</v>
      </c>
      <c r="BG23">
        <v>810</v>
      </c>
      <c r="BH23" s="4" t="s">
        <v>724</v>
      </c>
      <c r="BI23" s="4" t="s">
        <v>725</v>
      </c>
      <c r="BK23" s="4" t="s">
        <v>771</v>
      </c>
      <c r="BL23" s="4" t="s">
        <v>112</v>
      </c>
      <c r="BM23" s="4" t="s">
        <v>94</v>
      </c>
      <c r="BN23" s="4" t="s">
        <v>772</v>
      </c>
      <c r="BO23" s="4" t="s">
        <v>62</v>
      </c>
      <c r="BP23" s="4">
        <v>2812931000</v>
      </c>
      <c r="BQ23" s="5">
        <v>19256000000</v>
      </c>
      <c r="BR23" s="6">
        <v>3000</v>
      </c>
      <c r="BS23" s="6">
        <v>10800</v>
      </c>
      <c r="BT23" s="4">
        <v>1875</v>
      </c>
      <c r="BU23" s="4" t="s">
        <v>163</v>
      </c>
      <c r="BV23" s="4" t="s">
        <v>773</v>
      </c>
      <c r="BW23" s="4" t="s">
        <v>165</v>
      </c>
      <c r="BX23" s="4" t="s">
        <v>99</v>
      </c>
      <c r="BY23" s="4">
        <v>1311</v>
      </c>
      <c r="BZ23" s="4" t="s">
        <v>100</v>
      </c>
      <c r="CA23" s="4">
        <v>1382</v>
      </c>
      <c r="CB23" s="4" t="s">
        <v>120</v>
      </c>
      <c r="CC23" s="4">
        <v>13110000</v>
      </c>
      <c r="CD23" s="4" t="s">
        <v>276</v>
      </c>
      <c r="CE23" s="4">
        <v>13820000</v>
      </c>
      <c r="CF23" s="4" t="s">
        <v>119</v>
      </c>
      <c r="CG23" s="4">
        <v>211120</v>
      </c>
      <c r="CH23" s="4" t="s">
        <v>104</v>
      </c>
      <c r="CI23" s="4">
        <v>213112</v>
      </c>
      <c r="CJ23" s="4" t="s">
        <v>74</v>
      </c>
      <c r="CK23" s="19">
        <f>IF(BQ23&gt;0,BQ23,W23)</f>
        <v>19256000000</v>
      </c>
      <c r="CL23" s="20">
        <f>IF(BS23&gt;0,BS23,Y23)</f>
        <v>10800</v>
      </c>
      <c r="CM23" s="34">
        <f>IF(CG23&gt;0,CG23,AM23)</f>
        <v>211120</v>
      </c>
      <c r="CN23" s="80">
        <f>IF($BH23="",1,COUNTIF($BH$3:$BH23,$BH23))</f>
        <v>2</v>
      </c>
      <c r="CP23" t="str">
        <f>IF($K23="Standard Match","Match",IF($K23="Name Only Match",IF($CO23="Yes","Match","Name Only Match"),"No Match"))</f>
        <v>Match</v>
      </c>
      <c r="CQ23" s="35" t="str">
        <f>IF(AND(CP23="Match",CK23&gt;0,CL23&gt;0),"Y","N")</f>
        <v>Y</v>
      </c>
      <c r="CS23" t="str">
        <f>IF($CQ23="Y",VLOOKUP($CM23,'SBA Size Standards'!$B$3:$G$57,MATCH('SBA Size Standards'!$G$3,'SBA Size Standards'!$B$3:$G$3,0),FALSE),"")</f>
        <v>Employment</v>
      </c>
      <c r="CT23" s="60" t="str">
        <f>IF(CQ23="Y",IF($CS23="Employment","N/A",VLOOKUP($CM23,'SBA Size Standards'!$B$3:$G$57,MATCH('SBA Size Standards'!$E$3,'SBA Size Standards'!$B$3:$G$3,0),FALSE)),"")</f>
        <v>N/A</v>
      </c>
      <c r="CU23" s="86">
        <f>IF($CQ23="Y",IF($CS23="Revenue","N/A",VLOOKUP($CM23,'SBA Size Standards'!$B$3:$G$57,MATCH('SBA Size Standards'!$F$3,'SBA Size Standards'!$B$3:$G$3,0),FALSE)),"")</f>
        <v>1250</v>
      </c>
      <c r="CV23" t="str">
        <f>IF($CQ23="Y",IF(OR(AND($CS23="Employment",$CL23&lt;$CU23),AND($CS23="Revenue",$CK23&lt;$CT23)),"YES","NO"),"")</f>
        <v>NO</v>
      </c>
      <c r="CW23" s="90" t="str">
        <f>IF($CQ23="Y",INDEX('SBA Size Standards'!$N$3:$N$12,MATCH($CK23,'SBA Size Standards'!$O$3:$O$12,1)),"")</f>
        <v>$1,000,000,001 -$125,000,000,000</v>
      </c>
      <c r="CX23" s="122" t="s">
        <v>4820</v>
      </c>
      <c r="CY23" s="122">
        <f>INDEX('NM O&amp;G Production'!$P$3:$P$537,MATCH(CX23,'NM O&amp;G Production'!$Q$3:$Q$537,0))</f>
        <v>90</v>
      </c>
      <c r="CZ23" s="122" t="str">
        <f>INDEX('NM O&amp;G Production'!$O$3:$O$537,MATCH(CY23,'NM O&amp;G Production'!$P$3:$P$537,0))</f>
        <v>Yes</v>
      </c>
      <c r="DA23" s="127">
        <f>INDEX('NM O&amp;G Production'!$K$3:$O$537,MATCH($CY23,'NM O&amp;G Production'!$P$3:$P$537,0),MATCH(DA$2,'NM O&amp;G Production'!$K$2:$O$2,0))</f>
        <v>126</v>
      </c>
      <c r="DB23" s="127">
        <f>INDEX('NM O&amp;G Production'!$K$3:$O$537,MATCH($CY23,'NM O&amp;G Production'!$P$3:$P$537,0),MATCH(DB$2,'NM O&amp;G Production'!$K$2:$O$2,0))</f>
        <v>18</v>
      </c>
      <c r="DC23" s="127">
        <f>DA23+DB23</f>
        <v>144</v>
      </c>
      <c r="DD23" s="127">
        <f>INDEX('NM O&amp;G Production'!$K$3:$O$537,MATCH($CY23,'NM O&amp;G Production'!$P$3:$P$537,0),MATCH(DD$2,'NM O&amp;G Production'!$K$2:$O$2,0))</f>
        <v>57778018</v>
      </c>
      <c r="DE23" s="127">
        <f>INDEX('NM O&amp;G Production'!$K$3:$O$537,MATCH($CY23,'NM O&amp;G Production'!$P$3:$P$537,0),MATCH(DE$2,'NM O&amp;G Production'!$K$2:$O$2,0))</f>
        <v>5336279</v>
      </c>
      <c r="DF23" s="258">
        <f>CK23/(DB23+DA23)</f>
        <v>133722222.22222222</v>
      </c>
      <c r="DG23" s="57">
        <f>DD23*(12/18)*1.06*'Oil and Gas Prices'!$C$18</f>
        <v>97583220.53413333</v>
      </c>
      <c r="DH23" s="284">
        <f>DE23*(12/18)*'Oil and Gas Prices'!$C$4</f>
        <v>160088370</v>
      </c>
      <c r="DI23" s="284">
        <f>DG23+DH23</f>
        <v>257671590.53413332</v>
      </c>
      <c r="DJ23" s="57">
        <f>(DG23+DH23)/(DA23+DB23)</f>
        <v>1789386.0453759257</v>
      </c>
      <c r="DK23" s="318"/>
    </row>
    <row r="24" spans="1:115" x14ac:dyDescent="0.25">
      <c r="A24" t="s">
        <v>718</v>
      </c>
      <c r="B24" t="s">
        <v>719</v>
      </c>
      <c r="D24" t="s">
        <v>153</v>
      </c>
      <c r="E24" t="s">
        <v>80</v>
      </c>
      <c r="F24">
        <v>79701</v>
      </c>
      <c r="G24" t="s">
        <v>62</v>
      </c>
      <c r="I24">
        <v>89</v>
      </c>
      <c r="J24" t="s">
        <v>63</v>
      </c>
      <c r="K24" t="s">
        <v>4133</v>
      </c>
      <c r="L24" t="s">
        <v>64</v>
      </c>
      <c r="M24">
        <v>10</v>
      </c>
      <c r="N24" t="s">
        <v>720</v>
      </c>
      <c r="O24" t="s">
        <v>721</v>
      </c>
      <c r="Q24" t="s">
        <v>719</v>
      </c>
      <c r="R24" t="s">
        <v>153</v>
      </c>
      <c r="S24" t="s">
        <v>94</v>
      </c>
      <c r="T24" t="s">
        <v>722</v>
      </c>
      <c r="U24" t="s">
        <v>62</v>
      </c>
      <c r="V24">
        <v>4326850727</v>
      </c>
      <c r="W24" s="1">
        <v>1004075944</v>
      </c>
      <c r="X24">
        <v>141</v>
      </c>
      <c r="Y24">
        <v>500</v>
      </c>
      <c r="Z24">
        <v>2004</v>
      </c>
      <c r="AA24" t="s">
        <v>163</v>
      </c>
      <c r="AB24" t="s">
        <v>723</v>
      </c>
      <c r="AC24" t="s">
        <v>133</v>
      </c>
      <c r="AD24" t="s">
        <v>119</v>
      </c>
      <c r="AE24">
        <v>1382</v>
      </c>
      <c r="AF24" t="s">
        <v>120</v>
      </c>
      <c r="AI24">
        <v>13820000</v>
      </c>
      <c r="AJ24" t="s">
        <v>119</v>
      </c>
      <c r="AM24">
        <v>213112</v>
      </c>
      <c r="AN24" t="s">
        <v>74</v>
      </c>
      <c r="AQ24" t="s">
        <v>168</v>
      </c>
      <c r="AR24" t="s">
        <v>724</v>
      </c>
      <c r="AS24" t="s">
        <v>725</v>
      </c>
      <c r="AT24" t="s">
        <v>76</v>
      </c>
      <c r="AU24" t="s">
        <v>80</v>
      </c>
      <c r="AV24" t="s">
        <v>62</v>
      </c>
      <c r="AW24" t="s">
        <v>724</v>
      </c>
      <c r="AX24" t="s">
        <v>725</v>
      </c>
      <c r="AY24" t="s">
        <v>80</v>
      </c>
      <c r="AZ24" t="s">
        <v>62</v>
      </c>
      <c r="BA24" t="s">
        <v>726</v>
      </c>
      <c r="BC24" t="s">
        <v>727</v>
      </c>
      <c r="BD24" t="s">
        <v>80</v>
      </c>
      <c r="BE24" t="s">
        <v>62</v>
      </c>
      <c r="BF24">
        <v>3</v>
      </c>
      <c r="BG24">
        <v>810</v>
      </c>
      <c r="BH24" s="4" t="s">
        <v>724</v>
      </c>
      <c r="BI24" s="4" t="s">
        <v>725</v>
      </c>
      <c r="BK24" s="4" t="s">
        <v>771</v>
      </c>
      <c r="BL24" s="4" t="s">
        <v>112</v>
      </c>
      <c r="BM24" s="4" t="s">
        <v>94</v>
      </c>
      <c r="BN24" s="4" t="s">
        <v>772</v>
      </c>
      <c r="BO24" s="4" t="s">
        <v>62</v>
      </c>
      <c r="BP24" s="4">
        <v>2812931000</v>
      </c>
      <c r="BQ24" s="5">
        <v>19256000000</v>
      </c>
      <c r="BR24" s="6">
        <v>3000</v>
      </c>
      <c r="BS24" s="6">
        <v>10800</v>
      </c>
      <c r="BT24" s="4">
        <v>1875</v>
      </c>
      <c r="BU24" s="4" t="s">
        <v>163</v>
      </c>
      <c r="BV24" s="4" t="s">
        <v>773</v>
      </c>
      <c r="BW24" s="4" t="s">
        <v>165</v>
      </c>
      <c r="BX24" s="4" t="s">
        <v>99</v>
      </c>
      <c r="BY24" s="4">
        <v>1311</v>
      </c>
      <c r="BZ24" s="4" t="s">
        <v>100</v>
      </c>
      <c r="CA24" s="4">
        <v>1382</v>
      </c>
      <c r="CB24" s="4" t="s">
        <v>120</v>
      </c>
      <c r="CC24" s="4">
        <v>13110000</v>
      </c>
      <c r="CD24" s="4" t="s">
        <v>276</v>
      </c>
      <c r="CE24" s="4">
        <v>13820000</v>
      </c>
      <c r="CF24" s="4" t="s">
        <v>119</v>
      </c>
      <c r="CG24" s="4">
        <v>211120</v>
      </c>
      <c r="CH24" s="4" t="s">
        <v>104</v>
      </c>
      <c r="CI24" s="4">
        <v>213112</v>
      </c>
      <c r="CJ24" s="4" t="s">
        <v>74</v>
      </c>
      <c r="CK24" s="19">
        <f>IF(BQ24&gt;0,BQ24,W24)</f>
        <v>19256000000</v>
      </c>
      <c r="CL24" s="20">
        <f>IF(BS24&gt;0,BS24,Y24)</f>
        <v>10800</v>
      </c>
      <c r="CM24" s="34">
        <f>IF(CG24&gt;0,CG24,AM24)</f>
        <v>211120</v>
      </c>
      <c r="CN24" s="80">
        <f>IF($BH24="",1,COUNTIF($BH$3:$BH24,$BH24))</f>
        <v>3</v>
      </c>
      <c r="CP24" t="str">
        <f>IF($K24="Standard Match","Match",IF($K24="Name Only Match",IF($CO24="Yes","Match","Name Only Match"),"No Match"))</f>
        <v>Match</v>
      </c>
      <c r="CQ24" s="35" t="str">
        <f>IF(AND(CP24="Match",CK24&gt;0,CL24&gt;0),"Y","N")</f>
        <v>Y</v>
      </c>
      <c r="CS24" t="str">
        <f>IF($CQ24="Y",VLOOKUP($CM24,'SBA Size Standards'!$B$3:$G$57,MATCH('SBA Size Standards'!$G$3,'SBA Size Standards'!$B$3:$G$3,0),FALSE),"")</f>
        <v>Employment</v>
      </c>
      <c r="CT24" s="60" t="str">
        <f>IF(CQ24="Y",IF($CS24="Employment","N/A",VLOOKUP($CM24,'SBA Size Standards'!$B$3:$G$57,MATCH('SBA Size Standards'!$E$3,'SBA Size Standards'!$B$3:$G$3,0),FALSE)),"")</f>
        <v>N/A</v>
      </c>
      <c r="CU24" s="86">
        <f>IF($CQ24="Y",IF($CS24="Revenue","N/A",VLOOKUP($CM24,'SBA Size Standards'!$B$3:$G$57,MATCH('SBA Size Standards'!$F$3,'SBA Size Standards'!$B$3:$G$3,0),FALSE)),"")</f>
        <v>1250</v>
      </c>
      <c r="CV24" t="str">
        <f>IF($CQ24="Y",IF(OR(AND($CS24="Employment",$CL24&lt;$CU24),AND($CS24="Revenue",$CK24&lt;$CT24)),"YES","NO"),"")</f>
        <v>NO</v>
      </c>
      <c r="CW24" s="90" t="str">
        <f>IF($CQ24="Y",INDEX('SBA Size Standards'!$N$3:$N$12,MATCH($CK24,'SBA Size Standards'!$O$3:$O$12,1)),"")</f>
        <v>$1,000,000,001 -$125,000,000,000</v>
      </c>
      <c r="CX24" s="122" t="s">
        <v>4574</v>
      </c>
      <c r="CY24" s="122">
        <f>INDEX('NM O&amp;G Production'!$P$3:$P$537,MATCH(CX24,'NM O&amp;G Production'!$Q$3:$Q$537,0))</f>
        <v>89</v>
      </c>
      <c r="CZ24" s="122" t="str">
        <f>INDEX('NM O&amp;G Production'!$O$3:$O$537,MATCH(CY24,'NM O&amp;G Production'!$P$3:$P$537,0))</f>
        <v>Yes</v>
      </c>
      <c r="DA24" s="127">
        <f>INDEX('NM O&amp;G Production'!$K$3:$O$537,MATCH($CY24,'NM O&amp;G Production'!$P$3:$P$537,0),MATCH(DA$2,'NM O&amp;G Production'!$K$2:$O$2,0))</f>
        <v>732</v>
      </c>
      <c r="DB24" s="127">
        <f>INDEX('NM O&amp;G Production'!$K$3:$O$537,MATCH($CY24,'NM O&amp;G Production'!$P$3:$P$537,0),MATCH(DB$2,'NM O&amp;G Production'!$K$2:$O$2,0))</f>
        <v>292</v>
      </c>
      <c r="DC24" s="127">
        <f>DA24+DB24</f>
        <v>1024</v>
      </c>
      <c r="DD24" s="127">
        <f>INDEX('NM O&amp;G Production'!$K$3:$O$537,MATCH($CY24,'NM O&amp;G Production'!$P$3:$P$537,0),MATCH(DD$2,'NM O&amp;G Production'!$K$2:$O$2,0))</f>
        <v>154063065</v>
      </c>
      <c r="DE24" s="127">
        <f>INDEX('NM O&amp;G Production'!$K$3:$O$537,MATCH($CY24,'NM O&amp;G Production'!$P$3:$P$537,0),MATCH(DE$2,'NM O&amp;G Production'!$K$2:$O$2,0))</f>
        <v>43484820</v>
      </c>
      <c r="DF24" s="258">
        <f>CK24/(DB24+DA24)</f>
        <v>18804687.5</v>
      </c>
      <c r="DG24" s="57">
        <f>DD24*(12/18)*1.06*'Oil and Gas Prices'!$C$18</f>
        <v>260202245.91400003</v>
      </c>
      <c r="DH24" s="284">
        <f>DE24*(12/18)*'Oil and Gas Prices'!$C$4</f>
        <v>1304544600</v>
      </c>
      <c r="DI24" s="284">
        <f>DG24+DH24</f>
        <v>1564746845.914</v>
      </c>
      <c r="DJ24" s="57">
        <f>(DG24+DH24)/(DA24+DB24)</f>
        <v>1528073.0917128907</v>
      </c>
      <c r="DK24" s="318"/>
    </row>
    <row r="25" spans="1:115" x14ac:dyDescent="0.25">
      <c r="A25" t="s">
        <v>777</v>
      </c>
      <c r="B25" t="s">
        <v>778</v>
      </c>
      <c r="D25" t="s">
        <v>112</v>
      </c>
      <c r="E25" t="s">
        <v>80</v>
      </c>
      <c r="F25">
        <v>77252</v>
      </c>
      <c r="G25" t="s">
        <v>62</v>
      </c>
      <c r="I25">
        <v>96</v>
      </c>
      <c r="J25" t="s">
        <v>63</v>
      </c>
      <c r="K25" t="s">
        <v>4133</v>
      </c>
      <c r="L25" t="s">
        <v>149</v>
      </c>
      <c r="M25">
        <v>10</v>
      </c>
      <c r="N25" t="s">
        <v>769</v>
      </c>
      <c r="O25" t="s">
        <v>770</v>
      </c>
      <c r="Q25" t="s">
        <v>771</v>
      </c>
      <c r="R25" t="s">
        <v>112</v>
      </c>
      <c r="S25" t="s">
        <v>94</v>
      </c>
      <c r="T25" t="s">
        <v>772</v>
      </c>
      <c r="U25" t="s">
        <v>62</v>
      </c>
      <c r="V25">
        <v>2812931000</v>
      </c>
      <c r="W25" s="1">
        <v>12969367253</v>
      </c>
      <c r="X25" s="2">
        <v>3700</v>
      </c>
      <c r="Y25" s="2">
        <v>8000</v>
      </c>
      <c r="Z25">
        <v>1917</v>
      </c>
      <c r="AA25" t="s">
        <v>163</v>
      </c>
      <c r="AB25" t="s">
        <v>773</v>
      </c>
      <c r="AC25" t="s">
        <v>133</v>
      </c>
      <c r="AD25" t="s">
        <v>119</v>
      </c>
      <c r="AE25">
        <v>1382</v>
      </c>
      <c r="AF25" t="s">
        <v>120</v>
      </c>
      <c r="AG25">
        <v>2911</v>
      </c>
      <c r="AH25" t="s">
        <v>774</v>
      </c>
      <c r="AI25">
        <v>13820000</v>
      </c>
      <c r="AJ25" t="s">
        <v>119</v>
      </c>
      <c r="AK25">
        <v>29110101</v>
      </c>
      <c r="AL25" t="s">
        <v>775</v>
      </c>
      <c r="AM25">
        <v>213112</v>
      </c>
      <c r="AN25" t="s">
        <v>74</v>
      </c>
      <c r="AO25">
        <v>324110</v>
      </c>
      <c r="AP25" t="s">
        <v>776</v>
      </c>
      <c r="AQ25" t="s">
        <v>168</v>
      </c>
      <c r="AR25" t="s">
        <v>724</v>
      </c>
      <c r="AS25" t="s">
        <v>725</v>
      </c>
      <c r="AT25" t="s">
        <v>76</v>
      </c>
      <c r="AU25" t="s">
        <v>80</v>
      </c>
      <c r="AV25" t="s">
        <v>62</v>
      </c>
      <c r="AW25" t="s">
        <v>724</v>
      </c>
      <c r="AX25" t="s">
        <v>725</v>
      </c>
      <c r="AY25" t="s">
        <v>80</v>
      </c>
      <c r="AZ25" t="s">
        <v>62</v>
      </c>
      <c r="BA25" t="s">
        <v>724</v>
      </c>
      <c r="BC25" t="s">
        <v>725</v>
      </c>
      <c r="BD25" t="s">
        <v>80</v>
      </c>
      <c r="BE25" t="s">
        <v>62</v>
      </c>
      <c r="BF25">
        <v>2</v>
      </c>
      <c r="BG25">
        <v>810</v>
      </c>
      <c r="BH25" s="4" t="s">
        <v>724</v>
      </c>
      <c r="BI25" s="4" t="s">
        <v>725</v>
      </c>
      <c r="BK25" s="4" t="s">
        <v>771</v>
      </c>
      <c r="BL25" s="4" t="s">
        <v>112</v>
      </c>
      <c r="BM25" s="4" t="s">
        <v>94</v>
      </c>
      <c r="BN25" s="4" t="s">
        <v>772</v>
      </c>
      <c r="BO25" s="4" t="s">
        <v>62</v>
      </c>
      <c r="BP25" s="4">
        <v>2812931000</v>
      </c>
      <c r="BQ25" s="5">
        <v>19256000000</v>
      </c>
      <c r="BR25" s="6">
        <v>3000</v>
      </c>
      <c r="BS25" s="6">
        <v>10800</v>
      </c>
      <c r="BT25" s="4">
        <v>1875</v>
      </c>
      <c r="BU25" s="4" t="s">
        <v>163</v>
      </c>
      <c r="BV25" s="4" t="s">
        <v>773</v>
      </c>
      <c r="BW25" s="4" t="s">
        <v>165</v>
      </c>
      <c r="BX25" s="4" t="s">
        <v>99</v>
      </c>
      <c r="BY25" s="4">
        <v>1311</v>
      </c>
      <c r="BZ25" s="4" t="s">
        <v>100</v>
      </c>
      <c r="CA25" s="4">
        <v>1382</v>
      </c>
      <c r="CB25" s="4" t="s">
        <v>120</v>
      </c>
      <c r="CC25" s="4">
        <v>13110000</v>
      </c>
      <c r="CD25" s="4" t="s">
        <v>276</v>
      </c>
      <c r="CE25" s="4">
        <v>13820000</v>
      </c>
      <c r="CF25" s="4" t="s">
        <v>119</v>
      </c>
      <c r="CG25" s="4">
        <v>211120</v>
      </c>
      <c r="CH25" s="4" t="s">
        <v>104</v>
      </c>
      <c r="CI25" s="4">
        <v>213112</v>
      </c>
      <c r="CJ25" s="4" t="s">
        <v>74</v>
      </c>
      <c r="CK25" s="19">
        <f>IF(BQ25&gt;0,BQ25,W25)</f>
        <v>19256000000</v>
      </c>
      <c r="CL25" s="20">
        <f>IF(BS25&gt;0,BS25,Y25)</f>
        <v>10800</v>
      </c>
      <c r="CM25" s="34">
        <f>IF(CG25&gt;0,CG25,AM25)</f>
        <v>211120</v>
      </c>
      <c r="CN25" s="80">
        <f>IF($BH25="",1,COUNTIF($BH$3:$BH25,$BH25))</f>
        <v>4</v>
      </c>
      <c r="CP25" t="str">
        <f>IF($K25="Standard Match","Match",IF($K25="Name Only Match",IF($CO25="Yes","Match","Name Only Match"),"No Match"))</f>
        <v>Match</v>
      </c>
      <c r="CQ25" s="35" t="str">
        <f>IF(AND(CP25="Match",CK25&gt;0,CL25&gt;0),"Y","N")</f>
        <v>Y</v>
      </c>
      <c r="CS25" t="str">
        <f>IF($CQ25="Y",VLOOKUP($CM25,'SBA Size Standards'!$B$3:$G$57,MATCH('SBA Size Standards'!$G$3,'SBA Size Standards'!$B$3:$G$3,0),FALSE),"")</f>
        <v>Employment</v>
      </c>
      <c r="CT25" s="60" t="str">
        <f>IF(CQ25="Y",IF($CS25="Employment","N/A",VLOOKUP($CM25,'SBA Size Standards'!$B$3:$G$57,MATCH('SBA Size Standards'!$E$3,'SBA Size Standards'!$B$3:$G$3,0),FALSE)),"")</f>
        <v>N/A</v>
      </c>
      <c r="CU25" s="86">
        <f>IF($CQ25="Y",IF($CS25="Revenue","N/A",VLOOKUP($CM25,'SBA Size Standards'!$B$3:$G$57,MATCH('SBA Size Standards'!$F$3,'SBA Size Standards'!$B$3:$G$3,0),FALSE)),"")</f>
        <v>1250</v>
      </c>
      <c r="CV25" t="str">
        <f>IF($CQ25="Y",IF(OR(AND($CS25="Employment",$CL25&lt;$CU25),AND($CS25="Revenue",$CK25&lt;$CT25)),"YES","NO"),"")</f>
        <v>NO</v>
      </c>
      <c r="CW25" s="90" t="str">
        <f>IF($CQ25="Y",INDEX('SBA Size Standards'!$N$3:$N$12,MATCH($CK25,'SBA Size Standards'!$O$3:$O$12,1)),"")</f>
        <v>$1,000,000,001 -$125,000,000,000</v>
      </c>
      <c r="CX25" s="122" t="s">
        <v>4578</v>
      </c>
      <c r="CY25" s="122">
        <f>INDEX('NM O&amp;G Production'!$P$3:$P$537,MATCH(CX25,'NM O&amp;G Production'!$Q$3:$Q$537,0))</f>
        <v>96</v>
      </c>
      <c r="CZ25" s="122" t="str">
        <f>INDEX('NM O&amp;G Production'!$O$3:$O$537,MATCH(CY25,'NM O&amp;G Production'!$P$3:$P$537,0))</f>
        <v>Yes</v>
      </c>
      <c r="DA25" s="127">
        <f>INDEX('NM O&amp;G Production'!$K$3:$O$537,MATCH($CY25,'NM O&amp;G Production'!$P$3:$P$537,0),MATCH(DA$2,'NM O&amp;G Production'!$K$2:$O$2,0))</f>
        <v>259</v>
      </c>
      <c r="DB25" s="127">
        <f>INDEX('NM O&amp;G Production'!$K$3:$O$537,MATCH($CY25,'NM O&amp;G Production'!$P$3:$P$537,0),MATCH(DB$2,'NM O&amp;G Production'!$K$2:$O$2,0))</f>
        <v>644</v>
      </c>
      <c r="DC25" s="127">
        <f>DA25+DB25</f>
        <v>903</v>
      </c>
      <c r="DD25" s="127">
        <f>INDEX('NM O&amp;G Production'!$K$3:$O$537,MATCH($CY25,'NM O&amp;G Production'!$P$3:$P$537,0),MATCH(DD$2,'NM O&amp;G Production'!$K$2:$O$2,0))</f>
        <v>23061329</v>
      </c>
      <c r="DE25" s="127">
        <f>INDEX('NM O&amp;G Production'!$K$3:$O$537,MATCH($CY25,'NM O&amp;G Production'!$P$3:$P$537,0),MATCH(DE$2,'NM O&amp;G Production'!$K$2:$O$2,0))</f>
        <v>5713944</v>
      </c>
      <c r="DF25" s="258">
        <f>CK25/(DB25+DA25)</f>
        <v>21324473.975636765</v>
      </c>
      <c r="DG25" s="57">
        <f>DD25*(12/18)*1.06*'Oil and Gas Prices'!$C$18</f>
        <v>38949047.259066664</v>
      </c>
      <c r="DH25" s="284">
        <f>DE25*(12/18)*'Oil and Gas Prices'!$C$4</f>
        <v>171418320</v>
      </c>
      <c r="DI25" s="284">
        <f>DG25+DH25</f>
        <v>210367367.25906667</v>
      </c>
      <c r="DJ25" s="57">
        <f>(DG25+DH25)/(DA25+DB25)</f>
        <v>232964.96927914361</v>
      </c>
      <c r="DK25" s="318"/>
    </row>
    <row r="26" spans="1:115" x14ac:dyDescent="0.25">
      <c r="A26" t="s">
        <v>1183</v>
      </c>
      <c r="B26" t="s">
        <v>1184</v>
      </c>
      <c r="D26" t="s">
        <v>83</v>
      </c>
      <c r="E26" t="s">
        <v>84</v>
      </c>
      <c r="F26">
        <v>88210</v>
      </c>
      <c r="G26" t="s">
        <v>62</v>
      </c>
      <c r="I26">
        <v>154</v>
      </c>
      <c r="J26" t="s">
        <v>392</v>
      </c>
      <c r="K26" t="s">
        <v>4133</v>
      </c>
      <c r="L26" t="s">
        <v>113</v>
      </c>
      <c r="M26">
        <v>8</v>
      </c>
      <c r="N26" t="s">
        <v>1185</v>
      </c>
      <c r="O26" t="s">
        <v>1186</v>
      </c>
      <c r="Q26" t="s">
        <v>1187</v>
      </c>
      <c r="R26" t="s">
        <v>83</v>
      </c>
      <c r="S26" t="s">
        <v>214</v>
      </c>
      <c r="T26" t="s">
        <v>1188</v>
      </c>
      <c r="U26" t="s">
        <v>62</v>
      </c>
      <c r="V26">
        <v>5757481471</v>
      </c>
      <c r="W26" s="1">
        <v>4311652740</v>
      </c>
      <c r="X26">
        <v>122</v>
      </c>
      <c r="Y26">
        <v>500</v>
      </c>
      <c r="Z26">
        <v>1960</v>
      </c>
      <c r="AA26" t="s">
        <v>163</v>
      </c>
      <c r="AB26" t="s">
        <v>1189</v>
      </c>
      <c r="AC26" t="s">
        <v>133</v>
      </c>
      <c r="AD26" t="s">
        <v>99</v>
      </c>
      <c r="AE26">
        <v>1311</v>
      </c>
      <c r="AF26" t="s">
        <v>100</v>
      </c>
      <c r="AI26">
        <v>13110101</v>
      </c>
      <c r="AJ26" t="s">
        <v>102</v>
      </c>
      <c r="AM26">
        <v>211120</v>
      </c>
      <c r="AN26" t="s">
        <v>104</v>
      </c>
      <c r="AQ26" t="s">
        <v>168</v>
      </c>
      <c r="AR26" t="s">
        <v>1175</v>
      </c>
      <c r="AS26" t="s">
        <v>1172</v>
      </c>
      <c r="AT26" t="s">
        <v>76</v>
      </c>
      <c r="AU26" t="s">
        <v>80</v>
      </c>
      <c r="AV26" t="s">
        <v>62</v>
      </c>
      <c r="AW26" t="s">
        <v>1175</v>
      </c>
      <c r="AX26" t="s">
        <v>1172</v>
      </c>
      <c r="AY26" t="s">
        <v>80</v>
      </c>
      <c r="AZ26" t="s">
        <v>62</v>
      </c>
      <c r="BA26" t="s">
        <v>1175</v>
      </c>
      <c r="BC26" t="s">
        <v>1172</v>
      </c>
      <c r="BD26" t="s">
        <v>80</v>
      </c>
      <c r="BE26" t="s">
        <v>62</v>
      </c>
      <c r="BF26">
        <v>2</v>
      </c>
      <c r="BG26">
        <v>82</v>
      </c>
      <c r="BH26" s="4" t="s">
        <v>1175</v>
      </c>
      <c r="BI26" s="4" t="s">
        <v>1172</v>
      </c>
      <c r="BJ26" s="4" t="s">
        <v>4263</v>
      </c>
      <c r="BK26" s="4" t="s">
        <v>4264</v>
      </c>
      <c r="BL26" s="4" t="s">
        <v>112</v>
      </c>
      <c r="BM26" s="4" t="s">
        <v>94</v>
      </c>
      <c r="BN26" s="4" t="s">
        <v>1903</v>
      </c>
      <c r="BO26" s="4" t="s">
        <v>62</v>
      </c>
      <c r="BP26" s="4">
        <v>7136517000</v>
      </c>
      <c r="BQ26" s="5">
        <v>17379973000</v>
      </c>
      <c r="BR26" s="4">
        <v>183</v>
      </c>
      <c r="BS26" s="6">
        <v>2900</v>
      </c>
      <c r="BT26" s="4">
        <v>1985</v>
      </c>
      <c r="BU26" s="4" t="s">
        <v>163</v>
      </c>
      <c r="BV26" s="4" t="s">
        <v>4265</v>
      </c>
      <c r="BW26" s="4" t="s">
        <v>165</v>
      </c>
      <c r="BX26" s="4" t="s">
        <v>99</v>
      </c>
      <c r="BY26" s="4">
        <v>1311</v>
      </c>
      <c r="BZ26" s="4" t="s">
        <v>100</v>
      </c>
      <c r="CC26" s="4">
        <v>13110101</v>
      </c>
      <c r="CD26" s="4" t="s">
        <v>102</v>
      </c>
      <c r="CG26" s="4">
        <v>211120</v>
      </c>
      <c r="CH26" s="4" t="s">
        <v>104</v>
      </c>
      <c r="CK26" s="19">
        <f>IF(BQ26&gt;0,BQ26,W26)</f>
        <v>17379973000</v>
      </c>
      <c r="CL26" s="20">
        <f>IF(BS26&gt;0,BS26,Y26)</f>
        <v>2900</v>
      </c>
      <c r="CM26" s="34">
        <f>IF(CG26&gt;0,CG26,AM26)</f>
        <v>211120</v>
      </c>
      <c r="CN26" s="80">
        <f>IF($BH26="",1,COUNTIF($BH$3:$BH26,$BH26))</f>
        <v>1</v>
      </c>
      <c r="CP26" t="str">
        <f>IF($K26="Standard Match","Match",IF($K26="Name Only Match",IF($CO26="Yes","Match","Name Only Match"),"No Match"))</f>
        <v>Match</v>
      </c>
      <c r="CQ26" s="35" t="str">
        <f>IF(AND(CP26="Match",CK26&gt;0,CL26&gt;0),"Y","N")</f>
        <v>Y</v>
      </c>
      <c r="CS26" t="str">
        <f>IF($CQ26="Y",VLOOKUP($CM26,'SBA Size Standards'!$B$3:$G$57,MATCH('SBA Size Standards'!$G$3,'SBA Size Standards'!$B$3:$G$3,0),FALSE),"")</f>
        <v>Employment</v>
      </c>
      <c r="CT26" s="60" t="str">
        <f>IF(CQ26="Y",IF($CS26="Employment","N/A",VLOOKUP($CM26,'SBA Size Standards'!$B$3:$G$57,MATCH('SBA Size Standards'!$E$3,'SBA Size Standards'!$B$3:$G$3,0),FALSE)),"")</f>
        <v>N/A</v>
      </c>
      <c r="CU26" s="86">
        <f>IF($CQ26="Y",IF($CS26="Revenue","N/A",VLOOKUP($CM26,'SBA Size Standards'!$B$3:$G$57,MATCH('SBA Size Standards'!$F$3,'SBA Size Standards'!$B$3:$G$3,0),FALSE)),"")</f>
        <v>1250</v>
      </c>
      <c r="CV26" t="str">
        <f>IF($CQ26="Y",IF(OR(AND($CS26="Employment",$CL26&lt;$CU26),AND($CS26="Revenue",$CK26&lt;$CT26)),"YES","NO"),"")</f>
        <v>NO</v>
      </c>
      <c r="CW26" s="90" t="str">
        <f>IF($CQ26="Y",INDEX('SBA Size Standards'!$N$3:$N$12,MATCH($CK26,'SBA Size Standards'!$O$3:$O$12,1)),"")</f>
        <v>$1,000,000,001 -$125,000,000,000</v>
      </c>
      <c r="CX26" s="122" t="s">
        <v>4839</v>
      </c>
      <c r="CY26" s="122">
        <f>INDEX('NM O&amp;G Production'!$P$3:$P$537,MATCH(CX26,'NM O&amp;G Production'!$Q$3:$Q$537,0))</f>
        <v>154</v>
      </c>
      <c r="CZ26" s="122" t="str">
        <f>INDEX('NM O&amp;G Production'!$O$3:$O$537,MATCH(CY26,'NM O&amp;G Production'!$P$3:$P$537,0))</f>
        <v>No</v>
      </c>
      <c r="DA26" s="127">
        <f>INDEX('NM O&amp;G Production'!$K$3:$O$537,MATCH($CY26,'NM O&amp;G Production'!$P$3:$P$537,0),MATCH(DA$2,'NM O&amp;G Production'!$K$2:$O$2,0))</f>
        <v>0</v>
      </c>
      <c r="DB26" s="127">
        <f>INDEX('NM O&amp;G Production'!$K$3:$O$537,MATCH($CY26,'NM O&amp;G Production'!$P$3:$P$537,0),MATCH(DB$2,'NM O&amp;G Production'!$K$2:$O$2,0))</f>
        <v>0</v>
      </c>
      <c r="DC26" s="127"/>
      <c r="DD26" s="127">
        <f>INDEX('NM O&amp;G Production'!$K$3:$O$537,MATCH($CY26,'NM O&amp;G Production'!$P$3:$P$537,0),MATCH(DD$2,'NM O&amp;G Production'!$K$2:$O$2,0))</f>
        <v>0</v>
      </c>
      <c r="DE26" s="127">
        <f>INDEX('NM O&amp;G Production'!$K$3:$O$537,MATCH($CY26,'NM O&amp;G Production'!$P$3:$P$537,0),MATCH(DE$2,'NM O&amp;G Production'!$K$2:$O$2,0))</f>
        <v>0</v>
      </c>
      <c r="DF26" s="258" t="e">
        <f>CK26/(DB26+DA26)</f>
        <v>#DIV/0!</v>
      </c>
      <c r="DG26" s="57">
        <f>DD26*(12/18)*1.06*'Oil and Gas Prices'!$C$18</f>
        <v>0</v>
      </c>
      <c r="DH26" s="284">
        <f>DE26*(12/18)*'Oil and Gas Prices'!$C$4</f>
        <v>0</v>
      </c>
      <c r="DI26" s="284"/>
      <c r="DJ26" s="57" t="e">
        <f>(DG26+DH26)/(DA26+DB26)</f>
        <v>#DIV/0!</v>
      </c>
      <c r="DK26" s="18" t="e">
        <f>CK26/DI26</f>
        <v>#DIV/0!</v>
      </c>
    </row>
    <row r="27" spans="1:115" x14ac:dyDescent="0.25">
      <c r="A27" t="s">
        <v>1169</v>
      </c>
      <c r="B27" t="s">
        <v>1170</v>
      </c>
      <c r="D27" t="s">
        <v>303</v>
      </c>
      <c r="E27" t="s">
        <v>80</v>
      </c>
      <c r="F27">
        <v>79706</v>
      </c>
      <c r="G27" t="s">
        <v>62</v>
      </c>
      <c r="I27">
        <v>152</v>
      </c>
      <c r="J27" t="s">
        <v>63</v>
      </c>
      <c r="K27" t="s">
        <v>4133</v>
      </c>
      <c r="L27" t="s">
        <v>113</v>
      </c>
      <c r="M27">
        <v>8</v>
      </c>
      <c r="N27" t="s">
        <v>1171</v>
      </c>
      <c r="O27" t="s">
        <v>1172</v>
      </c>
      <c r="Q27" t="s">
        <v>1173</v>
      </c>
      <c r="R27" t="s">
        <v>153</v>
      </c>
      <c r="S27" t="s">
        <v>94</v>
      </c>
      <c r="T27" t="s">
        <v>1174</v>
      </c>
      <c r="U27" t="s">
        <v>62</v>
      </c>
      <c r="V27">
        <v>4326863600</v>
      </c>
      <c r="X27">
        <v>66</v>
      </c>
      <c r="Y27">
        <v>0</v>
      </c>
      <c r="AA27" t="s">
        <v>96</v>
      </c>
      <c r="AD27" t="s">
        <v>119</v>
      </c>
      <c r="AE27">
        <v>1382</v>
      </c>
      <c r="AF27" t="s">
        <v>120</v>
      </c>
      <c r="AG27">
        <v>1311</v>
      </c>
      <c r="AH27" t="s">
        <v>100</v>
      </c>
      <c r="AI27">
        <v>13820000</v>
      </c>
      <c r="AJ27" t="s">
        <v>119</v>
      </c>
      <c r="AK27">
        <v>13110100</v>
      </c>
      <c r="AL27" t="s">
        <v>411</v>
      </c>
      <c r="AM27">
        <v>213112</v>
      </c>
      <c r="AN27" t="s">
        <v>74</v>
      </c>
      <c r="AO27">
        <v>211120</v>
      </c>
      <c r="AP27" t="s">
        <v>104</v>
      </c>
      <c r="AQ27" t="s">
        <v>75</v>
      </c>
      <c r="AR27" t="s">
        <v>1175</v>
      </c>
      <c r="AS27" t="s">
        <v>1172</v>
      </c>
      <c r="AT27" t="s">
        <v>76</v>
      </c>
      <c r="AU27" t="s">
        <v>80</v>
      </c>
      <c r="AV27" t="s">
        <v>62</v>
      </c>
      <c r="AW27" t="s">
        <v>1175</v>
      </c>
      <c r="AX27" t="s">
        <v>1172</v>
      </c>
      <c r="AY27" t="s">
        <v>80</v>
      </c>
      <c r="AZ27" t="s">
        <v>62</v>
      </c>
      <c r="BB27" t="s">
        <v>1175</v>
      </c>
      <c r="BC27" t="s">
        <v>1172</v>
      </c>
      <c r="BD27" t="s">
        <v>80</v>
      </c>
      <c r="BE27" t="s">
        <v>62</v>
      </c>
      <c r="BF27">
        <v>1</v>
      </c>
      <c r="BG27">
        <v>82</v>
      </c>
      <c r="BH27" s="4" t="s">
        <v>1175</v>
      </c>
      <c r="BI27" s="4" t="s">
        <v>1172</v>
      </c>
      <c r="BJ27" s="4" t="s">
        <v>4263</v>
      </c>
      <c r="BK27" s="4" t="s">
        <v>4264</v>
      </c>
      <c r="BL27" s="4" t="s">
        <v>112</v>
      </c>
      <c r="BM27" s="4" t="s">
        <v>94</v>
      </c>
      <c r="BN27" s="4" t="s">
        <v>1903</v>
      </c>
      <c r="BO27" s="4" t="s">
        <v>62</v>
      </c>
      <c r="BP27" s="4">
        <v>7136517000</v>
      </c>
      <c r="BQ27" s="5">
        <v>17379973000</v>
      </c>
      <c r="BR27" s="4">
        <v>183</v>
      </c>
      <c r="BS27" s="6">
        <v>2900</v>
      </c>
      <c r="BT27" s="4">
        <v>1985</v>
      </c>
      <c r="BU27" s="4" t="s">
        <v>163</v>
      </c>
      <c r="BV27" s="4" t="s">
        <v>4265</v>
      </c>
      <c r="BW27" s="4" t="s">
        <v>165</v>
      </c>
      <c r="BX27" s="4" t="s">
        <v>99</v>
      </c>
      <c r="BY27" s="4">
        <v>1311</v>
      </c>
      <c r="BZ27" s="4" t="s">
        <v>100</v>
      </c>
      <c r="CC27" s="4">
        <v>13110101</v>
      </c>
      <c r="CD27" s="4" t="s">
        <v>102</v>
      </c>
      <c r="CG27" s="4">
        <v>211120</v>
      </c>
      <c r="CH27" s="4" t="s">
        <v>104</v>
      </c>
      <c r="CK27" s="19">
        <f>IF(BQ27&gt;0,BQ27,W27)</f>
        <v>17379973000</v>
      </c>
      <c r="CL27" s="20">
        <f>IF(BS27&gt;0,BS27,Y27)</f>
        <v>2900</v>
      </c>
      <c r="CM27" s="34">
        <f>IF(CG27&gt;0,CG27,AM27)</f>
        <v>211120</v>
      </c>
      <c r="CN27" s="80">
        <f>IF($BH27="",1,COUNTIF($BH$3:$BH27,$BH27))</f>
        <v>2</v>
      </c>
      <c r="CP27" t="str">
        <f>IF($K27="Standard Match","Match",IF($K27="Name Only Match",IF($CO27="Yes","Match","Name Only Match"),"No Match"))</f>
        <v>Match</v>
      </c>
      <c r="CQ27" s="35" t="str">
        <f>IF(AND(CP27="Match",CK27&gt;0,CL27&gt;0),"Y","N")</f>
        <v>Y</v>
      </c>
      <c r="CS27" t="str">
        <f>IF($CQ27="Y",VLOOKUP($CM27,'SBA Size Standards'!$B$3:$G$57,MATCH('SBA Size Standards'!$G$3,'SBA Size Standards'!$B$3:$G$3,0),FALSE),"")</f>
        <v>Employment</v>
      </c>
      <c r="CT27" s="60" t="str">
        <f>IF(CQ27="Y",IF($CS27="Employment","N/A",VLOOKUP($CM27,'SBA Size Standards'!$B$3:$G$57,MATCH('SBA Size Standards'!$E$3,'SBA Size Standards'!$B$3:$G$3,0),FALSE)),"")</f>
        <v>N/A</v>
      </c>
      <c r="CU27" s="86">
        <f>IF($CQ27="Y",IF($CS27="Revenue","N/A",VLOOKUP($CM27,'SBA Size Standards'!$B$3:$G$57,MATCH('SBA Size Standards'!$F$3,'SBA Size Standards'!$B$3:$G$3,0),FALSE)),"")</f>
        <v>1250</v>
      </c>
      <c r="CV27" t="str">
        <f>IF($CQ27="Y",IF(OR(AND($CS27="Employment",$CL27&lt;$CU27),AND($CS27="Revenue",$CK27&lt;$CT27)),"YES","NO"),"")</f>
        <v>NO</v>
      </c>
      <c r="CW27" s="90" t="str">
        <f>IF($CQ27="Y",INDEX('SBA Size Standards'!$N$3:$N$12,MATCH($CK27,'SBA Size Standards'!$O$3:$O$12,1)),"")</f>
        <v>$1,000,000,001 -$125,000,000,000</v>
      </c>
      <c r="CX27" s="122" t="s">
        <v>4837</v>
      </c>
      <c r="CY27" s="122">
        <f>INDEX('NM O&amp;G Production'!$P$3:$P$537,MATCH(CX27,'NM O&amp;G Production'!$Q$3:$Q$537,0))</f>
        <v>152</v>
      </c>
      <c r="CZ27" s="122" t="str">
        <f>INDEX('NM O&amp;G Production'!$O$3:$O$537,MATCH(CY27,'NM O&amp;G Production'!$P$3:$P$537,0))</f>
        <v>No</v>
      </c>
      <c r="DA27" s="127">
        <f>INDEX('NM O&amp;G Production'!$K$3:$O$537,MATCH($CY27,'NM O&amp;G Production'!$P$3:$P$537,0),MATCH(DA$2,'NM O&amp;G Production'!$K$2:$O$2,0))</f>
        <v>0</v>
      </c>
      <c r="DB27" s="127">
        <f>INDEX('NM O&amp;G Production'!$K$3:$O$537,MATCH($CY27,'NM O&amp;G Production'!$P$3:$P$537,0),MATCH(DB$2,'NM O&amp;G Production'!$K$2:$O$2,0))</f>
        <v>0</v>
      </c>
      <c r="DC27" s="127"/>
      <c r="DD27" s="127">
        <f>INDEX('NM O&amp;G Production'!$K$3:$O$537,MATCH($CY27,'NM O&amp;G Production'!$P$3:$P$537,0),MATCH(DD$2,'NM O&amp;G Production'!$K$2:$O$2,0))</f>
        <v>0</v>
      </c>
      <c r="DE27" s="127">
        <f>INDEX('NM O&amp;G Production'!$K$3:$O$537,MATCH($CY27,'NM O&amp;G Production'!$P$3:$P$537,0),MATCH(DE$2,'NM O&amp;G Production'!$K$2:$O$2,0))</f>
        <v>0</v>
      </c>
      <c r="DF27" s="258" t="e">
        <f>CK27/(DB27+DA27)</f>
        <v>#DIV/0!</v>
      </c>
      <c r="DG27" s="57">
        <f>DD27*(12/18)*1.06*'Oil and Gas Prices'!$C$18</f>
        <v>0</v>
      </c>
      <c r="DH27" s="284">
        <f>DE27*(12/18)*'Oil and Gas Prices'!$C$4</f>
        <v>0</v>
      </c>
      <c r="DI27" s="284"/>
      <c r="DJ27" s="57" t="e">
        <f>(DG27+DH27)/(DA27+DB27)</f>
        <v>#DIV/0!</v>
      </c>
      <c r="DK27" s="18" t="e">
        <f>CK27/DI27</f>
        <v>#DIV/0!</v>
      </c>
    </row>
    <row r="28" spans="1:115" x14ac:dyDescent="0.25">
      <c r="A28" t="s">
        <v>2306</v>
      </c>
      <c r="B28" t="s">
        <v>2307</v>
      </c>
      <c r="D28" t="s">
        <v>2308</v>
      </c>
      <c r="E28" t="s">
        <v>61</v>
      </c>
      <c r="F28">
        <v>80228</v>
      </c>
      <c r="G28" t="s">
        <v>62</v>
      </c>
      <c r="I28">
        <v>326</v>
      </c>
      <c r="J28" t="s">
        <v>63</v>
      </c>
      <c r="K28" t="s">
        <v>4133</v>
      </c>
      <c r="L28" t="s">
        <v>113</v>
      </c>
      <c r="M28">
        <v>8</v>
      </c>
      <c r="N28" t="s">
        <v>2309</v>
      </c>
      <c r="O28" t="s">
        <v>2310</v>
      </c>
      <c r="Q28" t="s">
        <v>2311</v>
      </c>
      <c r="R28" t="s">
        <v>2308</v>
      </c>
      <c r="S28" t="s">
        <v>68</v>
      </c>
      <c r="T28" t="s">
        <v>2312</v>
      </c>
      <c r="U28" t="s">
        <v>62</v>
      </c>
      <c r="V28">
        <v>3032433400</v>
      </c>
      <c r="W28" s="1">
        <v>18971315</v>
      </c>
      <c r="X28">
        <v>475</v>
      </c>
      <c r="Y28">
        <v>475</v>
      </c>
      <c r="Z28">
        <v>1938</v>
      </c>
      <c r="AA28" t="s">
        <v>70</v>
      </c>
      <c r="AB28" t="s">
        <v>2313</v>
      </c>
      <c r="AC28" t="s">
        <v>133</v>
      </c>
      <c r="AD28" t="s">
        <v>167</v>
      </c>
      <c r="AE28">
        <v>4924</v>
      </c>
      <c r="AF28" t="s">
        <v>166</v>
      </c>
      <c r="AI28">
        <v>49240000</v>
      </c>
      <c r="AJ28" t="s">
        <v>167</v>
      </c>
      <c r="AM28">
        <v>221210</v>
      </c>
      <c r="AN28" t="s">
        <v>166</v>
      </c>
      <c r="AQ28" t="s">
        <v>168</v>
      </c>
      <c r="AR28" t="s">
        <v>1030</v>
      </c>
      <c r="AS28" t="s">
        <v>1031</v>
      </c>
      <c r="AT28" t="s">
        <v>76</v>
      </c>
      <c r="AU28" t="s">
        <v>80</v>
      </c>
      <c r="AV28" t="s">
        <v>62</v>
      </c>
      <c r="AW28" t="s">
        <v>1030</v>
      </c>
      <c r="AX28" t="s">
        <v>1031</v>
      </c>
      <c r="AY28" t="s">
        <v>80</v>
      </c>
      <c r="AZ28" t="s">
        <v>62</v>
      </c>
      <c r="BA28" t="s">
        <v>2314</v>
      </c>
      <c r="BC28" t="s">
        <v>2315</v>
      </c>
      <c r="BD28" t="s">
        <v>80</v>
      </c>
      <c r="BE28" t="s">
        <v>62</v>
      </c>
      <c r="BF28">
        <v>3</v>
      </c>
      <c r="BG28">
        <v>1134</v>
      </c>
      <c r="BH28" s="4" t="s">
        <v>1030</v>
      </c>
      <c r="BI28" s="4" t="s">
        <v>1031</v>
      </c>
      <c r="BJ28" s="4" t="s">
        <v>4163</v>
      </c>
      <c r="BK28" s="4" t="s">
        <v>4164</v>
      </c>
      <c r="BL28" s="4" t="s">
        <v>112</v>
      </c>
      <c r="BM28" s="4" t="s">
        <v>94</v>
      </c>
      <c r="BN28" s="4" t="s">
        <v>800</v>
      </c>
      <c r="BO28" s="4" t="s">
        <v>62</v>
      </c>
      <c r="BP28" s="4">
        <v>7133699000</v>
      </c>
      <c r="BQ28" s="5">
        <v>11700000000</v>
      </c>
      <c r="BR28" s="4">
        <v>38</v>
      </c>
      <c r="BS28" s="6">
        <v>11086</v>
      </c>
      <c r="BT28" s="4">
        <v>2006</v>
      </c>
      <c r="BU28" s="4" t="s">
        <v>163</v>
      </c>
      <c r="BV28" s="4" t="s">
        <v>4165</v>
      </c>
      <c r="BW28" s="4" t="s">
        <v>133</v>
      </c>
      <c r="BX28" s="4" t="s">
        <v>1027</v>
      </c>
      <c r="BY28" s="4">
        <v>4922</v>
      </c>
      <c r="BZ28" s="4" t="s">
        <v>1028</v>
      </c>
      <c r="CC28" s="4">
        <v>49229901</v>
      </c>
      <c r="CD28" s="4" t="s">
        <v>1108</v>
      </c>
      <c r="CG28" s="4">
        <v>486210</v>
      </c>
      <c r="CH28" s="4" t="s">
        <v>1029</v>
      </c>
      <c r="CK28" s="19">
        <f>IF(BQ28&gt;0,BQ28,W28)</f>
        <v>11700000000</v>
      </c>
      <c r="CL28" s="20">
        <f>IF(BS28&gt;0,BS28,Y28)</f>
        <v>11086</v>
      </c>
      <c r="CM28" s="34">
        <f>IF(CG28&gt;0,CG28,AM28)</f>
        <v>486210</v>
      </c>
      <c r="CN28" s="80">
        <f>IF($BH28="",1,COUNTIF($BH$3:$BH28,$BH28))</f>
        <v>1</v>
      </c>
      <c r="CP28" t="str">
        <f>IF($K28="Standard Match","Match",IF($K28="Name Only Match",IF($CO28="Yes","Match","Name Only Match"),"No Match"))</f>
        <v>Match</v>
      </c>
      <c r="CQ28" s="35" t="str">
        <f>IF(AND(CP28="Match",CK28&gt;0,CL28&gt;0),"Y","N")</f>
        <v>Y</v>
      </c>
      <c r="CS28" t="str">
        <f>IF($CQ28="Y",VLOOKUP($CM28,'SBA Size Standards'!$B$3:$G$57,MATCH('SBA Size Standards'!$G$3,'SBA Size Standards'!$B$3:$G$3,0),FALSE),"")</f>
        <v>Revenue</v>
      </c>
      <c r="CT28" s="60">
        <f>IF(CQ28="Y",IF($CS28="Employment","N/A",VLOOKUP($CM28,'SBA Size Standards'!$B$3:$G$57,MATCH('SBA Size Standards'!$E$3,'SBA Size Standards'!$B$3:$G$3,0),FALSE)),"")</f>
        <v>30000000</v>
      </c>
      <c r="CU28" s="86" t="str">
        <f>IF($CQ28="Y",IF($CS28="Revenue","N/A",VLOOKUP($CM28,'SBA Size Standards'!$B$3:$G$57,MATCH('SBA Size Standards'!$F$3,'SBA Size Standards'!$B$3:$G$3,0),FALSE)),"")</f>
        <v>N/A</v>
      </c>
      <c r="CV28" t="str">
        <f>IF($CQ28="Y",IF(OR(AND($CS28="Employment",$CL28&lt;$CU28),AND($CS28="Revenue",$CK28&lt;$CT28)),"YES","NO"),"")</f>
        <v>NO</v>
      </c>
      <c r="CW28" s="90" t="str">
        <f>IF($CQ28="Y",INDEX('SBA Size Standards'!$N$3:$N$12,MATCH($CK28,'SBA Size Standards'!$O$3:$O$12,1)),"")</f>
        <v>$1,000,000,001 -$125,000,000,000</v>
      </c>
      <c r="CX28" s="122" t="s">
        <v>4875</v>
      </c>
      <c r="CY28" s="122">
        <f>INDEX('NM O&amp;G Production'!$P$3:$P$537,MATCH(CX28,'NM O&amp;G Production'!$Q$3:$Q$537,0))</f>
        <v>326</v>
      </c>
      <c r="CZ28" s="122" t="str">
        <f>INDEX('NM O&amp;G Production'!$O$3:$O$537,MATCH(CY28,'NM O&amp;G Production'!$P$3:$P$537,0))</f>
        <v>No</v>
      </c>
      <c r="DA28" s="127">
        <f>INDEX('NM O&amp;G Production'!$K$3:$O$537,MATCH($CY28,'NM O&amp;G Production'!$P$3:$P$537,0),MATCH(DA$2,'NM O&amp;G Production'!$K$2:$O$2,0))</f>
        <v>0</v>
      </c>
      <c r="DB28" s="127">
        <f>INDEX('NM O&amp;G Production'!$K$3:$O$537,MATCH($CY28,'NM O&amp;G Production'!$P$3:$P$537,0),MATCH(DB$2,'NM O&amp;G Production'!$K$2:$O$2,0))</f>
        <v>0</v>
      </c>
      <c r="DC28" s="127"/>
      <c r="DD28" s="127">
        <f>INDEX('NM O&amp;G Production'!$K$3:$O$537,MATCH($CY28,'NM O&amp;G Production'!$P$3:$P$537,0),MATCH(DD$2,'NM O&amp;G Production'!$K$2:$O$2,0))</f>
        <v>0</v>
      </c>
      <c r="DE28" s="127">
        <f>INDEX('NM O&amp;G Production'!$K$3:$O$537,MATCH($CY28,'NM O&amp;G Production'!$P$3:$P$537,0),MATCH(DE$2,'NM O&amp;G Production'!$K$2:$O$2,0))</f>
        <v>0</v>
      </c>
      <c r="DF28" s="258" t="e">
        <f>CK28/(DB28+DA28)</f>
        <v>#DIV/0!</v>
      </c>
      <c r="DG28" s="57">
        <f>DD28*(12/18)*1.06*'Oil and Gas Prices'!$C$18</f>
        <v>0</v>
      </c>
      <c r="DH28" s="284">
        <f>DE28*(12/18)*'Oil and Gas Prices'!$C$4</f>
        <v>0</v>
      </c>
      <c r="DI28" s="284"/>
      <c r="DJ28" s="57" t="e">
        <f>(DG28+DH28)/(DA28+DB28)</f>
        <v>#DIV/0!</v>
      </c>
      <c r="DK28" s="18" t="e">
        <f>CK28/DI28</f>
        <v>#DIV/0!</v>
      </c>
    </row>
    <row r="29" spans="1:115" x14ac:dyDescent="0.25">
      <c r="A29" t="s">
        <v>3297</v>
      </c>
      <c r="B29" t="s">
        <v>2307</v>
      </c>
      <c r="D29" t="s">
        <v>2308</v>
      </c>
      <c r="E29" t="s">
        <v>61</v>
      </c>
      <c r="F29">
        <v>80228</v>
      </c>
      <c r="G29" t="s">
        <v>62</v>
      </c>
      <c r="I29">
        <v>487</v>
      </c>
      <c r="J29" t="s">
        <v>89</v>
      </c>
      <c r="K29" t="s">
        <v>4133</v>
      </c>
      <c r="L29" t="s">
        <v>113</v>
      </c>
      <c r="M29">
        <v>8</v>
      </c>
      <c r="N29" t="s">
        <v>3298</v>
      </c>
      <c r="O29" t="s">
        <v>3299</v>
      </c>
      <c r="Q29" t="s">
        <v>2311</v>
      </c>
      <c r="R29" t="s">
        <v>2308</v>
      </c>
      <c r="S29" t="s">
        <v>68</v>
      </c>
      <c r="T29" t="s">
        <v>2312</v>
      </c>
      <c r="U29" t="s">
        <v>62</v>
      </c>
      <c r="V29">
        <v>3037633673</v>
      </c>
      <c r="W29" s="1">
        <v>21578087</v>
      </c>
      <c r="X29">
        <v>4</v>
      </c>
      <c r="Y29">
        <v>4</v>
      </c>
      <c r="Z29">
        <v>1990</v>
      </c>
      <c r="AA29" t="s">
        <v>70</v>
      </c>
      <c r="AB29" t="s">
        <v>3300</v>
      </c>
      <c r="AC29" t="s">
        <v>145</v>
      </c>
      <c r="AD29" t="s">
        <v>896</v>
      </c>
      <c r="AE29">
        <v>4923</v>
      </c>
      <c r="AF29" t="s">
        <v>894</v>
      </c>
      <c r="AI29">
        <v>49230000</v>
      </c>
      <c r="AJ29" t="s">
        <v>896</v>
      </c>
      <c r="AM29">
        <v>221210</v>
      </c>
      <c r="AN29" t="s">
        <v>166</v>
      </c>
      <c r="AQ29" t="s">
        <v>168</v>
      </c>
      <c r="AR29" t="s">
        <v>1030</v>
      </c>
      <c r="AS29" t="s">
        <v>1031</v>
      </c>
      <c r="AT29" t="s">
        <v>76</v>
      </c>
      <c r="AU29" t="s">
        <v>80</v>
      </c>
      <c r="AV29" t="s">
        <v>62</v>
      </c>
      <c r="AW29" t="s">
        <v>1030</v>
      </c>
      <c r="AX29" t="s">
        <v>1031</v>
      </c>
      <c r="AY29" t="s">
        <v>80</v>
      </c>
      <c r="AZ29" t="s">
        <v>62</v>
      </c>
      <c r="BA29" t="s">
        <v>3301</v>
      </c>
      <c r="BC29" t="s">
        <v>3302</v>
      </c>
      <c r="BD29" t="s">
        <v>80</v>
      </c>
      <c r="BE29" t="s">
        <v>62</v>
      </c>
      <c r="BF29">
        <v>3</v>
      </c>
      <c r="BG29">
        <v>1134</v>
      </c>
      <c r="BH29" s="4" t="s">
        <v>1030</v>
      </c>
      <c r="BI29" s="4" t="s">
        <v>1031</v>
      </c>
      <c r="BJ29" s="4" t="s">
        <v>4163</v>
      </c>
      <c r="BK29" s="4" t="s">
        <v>4164</v>
      </c>
      <c r="BL29" s="4" t="s">
        <v>112</v>
      </c>
      <c r="BM29" s="4" t="s">
        <v>94</v>
      </c>
      <c r="BN29" s="4" t="s">
        <v>800</v>
      </c>
      <c r="BO29" s="4" t="s">
        <v>62</v>
      </c>
      <c r="BP29" s="4">
        <v>7133699000</v>
      </c>
      <c r="BQ29" s="5">
        <v>11700000000</v>
      </c>
      <c r="BR29" s="4">
        <v>38</v>
      </c>
      <c r="BS29" s="6">
        <v>11086</v>
      </c>
      <c r="BT29" s="4">
        <v>2006</v>
      </c>
      <c r="BU29" s="4" t="s">
        <v>163</v>
      </c>
      <c r="BV29" s="4" t="s">
        <v>4165</v>
      </c>
      <c r="BW29" s="4" t="s">
        <v>133</v>
      </c>
      <c r="BX29" s="4" t="s">
        <v>1027</v>
      </c>
      <c r="BY29" s="4">
        <v>4922</v>
      </c>
      <c r="BZ29" s="4" t="s">
        <v>1028</v>
      </c>
      <c r="CC29" s="4">
        <v>49229901</v>
      </c>
      <c r="CD29" s="4" t="s">
        <v>1108</v>
      </c>
      <c r="CG29" s="4">
        <v>486210</v>
      </c>
      <c r="CH29" s="4" t="s">
        <v>1029</v>
      </c>
      <c r="CK29" s="19">
        <f>IF(BQ29&gt;0,BQ29,W29)</f>
        <v>11700000000</v>
      </c>
      <c r="CL29" s="20">
        <f>IF(BS29&gt;0,BS29,Y29)</f>
        <v>11086</v>
      </c>
      <c r="CM29" s="34">
        <f>IF(CG29&gt;0,CG29,AM29)</f>
        <v>486210</v>
      </c>
      <c r="CN29" s="80">
        <f>IF($BH29="",1,COUNTIF($BH$3:$BH29,$BH29))</f>
        <v>2</v>
      </c>
      <c r="CP29" t="str">
        <f>IF($K29="Standard Match","Match",IF($K29="Name Only Match",IF($CO29="Yes","Match","Name Only Match"),"No Match"))</f>
        <v>Match</v>
      </c>
      <c r="CQ29" s="35" t="str">
        <f>IF(AND(CP29="Match",CK29&gt;0,CL29&gt;0),"Y","N")</f>
        <v>Y</v>
      </c>
      <c r="CS29" t="str">
        <f>IF($CQ29="Y",VLOOKUP($CM29,'SBA Size Standards'!$B$3:$G$57,MATCH('SBA Size Standards'!$G$3,'SBA Size Standards'!$B$3:$G$3,0),FALSE),"")</f>
        <v>Revenue</v>
      </c>
      <c r="CT29" s="60">
        <f>IF(CQ29="Y",IF($CS29="Employment","N/A",VLOOKUP($CM29,'SBA Size Standards'!$B$3:$G$57,MATCH('SBA Size Standards'!$E$3,'SBA Size Standards'!$B$3:$G$3,0),FALSE)),"")</f>
        <v>30000000</v>
      </c>
      <c r="CU29" s="86" t="str">
        <f>IF($CQ29="Y",IF($CS29="Revenue","N/A",VLOOKUP($CM29,'SBA Size Standards'!$B$3:$G$57,MATCH('SBA Size Standards'!$F$3,'SBA Size Standards'!$B$3:$G$3,0),FALSE)),"")</f>
        <v>N/A</v>
      </c>
      <c r="CV29" t="str">
        <f>IF($CQ29="Y",IF(OR(AND($CS29="Employment",$CL29&lt;$CU29),AND($CS29="Revenue",$CK29&lt;$CT29)),"YES","NO"),"")</f>
        <v>NO</v>
      </c>
      <c r="CW29" s="90" t="str">
        <f>IF($CQ29="Y",INDEX('SBA Size Standards'!$N$3:$N$12,MATCH($CK29,'SBA Size Standards'!$O$3:$O$12,1)),"")</f>
        <v>$1,000,000,001 -$125,000,000,000</v>
      </c>
      <c r="CX29" s="122" t="s">
        <v>4913</v>
      </c>
      <c r="CY29" s="122">
        <f>INDEX('NM O&amp;G Production'!$P$3:$P$537,MATCH(CX29,'NM O&amp;G Production'!$Q$3:$Q$537,0))</f>
        <v>487</v>
      </c>
      <c r="CZ29" s="122" t="str">
        <f>INDEX('NM O&amp;G Production'!$O$3:$O$537,MATCH(CY29,'NM O&amp;G Production'!$P$3:$P$537,0))</f>
        <v>No</v>
      </c>
      <c r="DA29" s="127">
        <f>INDEX('NM O&amp;G Production'!$K$3:$O$537,MATCH($CY29,'NM O&amp;G Production'!$P$3:$P$537,0),MATCH(DA$2,'NM O&amp;G Production'!$K$2:$O$2,0))</f>
        <v>0</v>
      </c>
      <c r="DB29" s="127">
        <f>INDEX('NM O&amp;G Production'!$K$3:$O$537,MATCH($CY29,'NM O&amp;G Production'!$P$3:$P$537,0),MATCH(DB$2,'NM O&amp;G Production'!$K$2:$O$2,0))</f>
        <v>0</v>
      </c>
      <c r="DC29" s="127"/>
      <c r="DD29" s="127">
        <f>INDEX('NM O&amp;G Production'!$K$3:$O$537,MATCH($CY29,'NM O&amp;G Production'!$P$3:$P$537,0),MATCH(DD$2,'NM O&amp;G Production'!$K$2:$O$2,0))</f>
        <v>0</v>
      </c>
      <c r="DE29" s="127">
        <f>INDEX('NM O&amp;G Production'!$K$3:$O$537,MATCH($CY29,'NM O&amp;G Production'!$P$3:$P$537,0),MATCH(DE$2,'NM O&amp;G Production'!$K$2:$O$2,0))</f>
        <v>0</v>
      </c>
      <c r="DF29" s="258" t="e">
        <f>CK29/(DB29+DA29)</f>
        <v>#DIV/0!</v>
      </c>
      <c r="DG29" s="57">
        <f>DD29*(12/18)*1.06*'Oil and Gas Prices'!$C$18</f>
        <v>0</v>
      </c>
      <c r="DH29" s="284">
        <f>DE29*(12/18)*'Oil and Gas Prices'!$C$4</f>
        <v>0</v>
      </c>
      <c r="DI29" s="284"/>
      <c r="DJ29" s="57" t="e">
        <f>(DG29+DH29)/(DA29+DB29)</f>
        <v>#DIV/0!</v>
      </c>
      <c r="DK29" s="18" t="e">
        <f>CK29/DI29</f>
        <v>#DIV/0!</v>
      </c>
    </row>
    <row r="30" spans="1:115" x14ac:dyDescent="0.25">
      <c r="A30" t="s">
        <v>1019</v>
      </c>
      <c r="B30" t="s">
        <v>1020</v>
      </c>
      <c r="D30" t="s">
        <v>1021</v>
      </c>
      <c r="E30" t="s">
        <v>61</v>
      </c>
      <c r="F30">
        <v>80903</v>
      </c>
      <c r="G30" t="s">
        <v>62</v>
      </c>
      <c r="I30">
        <v>135</v>
      </c>
      <c r="J30" t="s">
        <v>63</v>
      </c>
      <c r="K30" t="s">
        <v>4133</v>
      </c>
      <c r="L30" t="s">
        <v>64</v>
      </c>
      <c r="M30">
        <v>10</v>
      </c>
      <c r="N30" t="s">
        <v>1022</v>
      </c>
      <c r="O30" t="s">
        <v>1019</v>
      </c>
      <c r="P30" t="s">
        <v>1023</v>
      </c>
      <c r="Q30" t="s">
        <v>1024</v>
      </c>
      <c r="R30" t="s">
        <v>1021</v>
      </c>
      <c r="S30" t="s">
        <v>68</v>
      </c>
      <c r="T30" t="s">
        <v>1025</v>
      </c>
      <c r="U30" t="s">
        <v>62</v>
      </c>
      <c r="V30">
        <v>7194732300</v>
      </c>
      <c r="X30">
        <v>4</v>
      </c>
      <c r="Y30">
        <v>0</v>
      </c>
      <c r="AA30" t="s">
        <v>96</v>
      </c>
      <c r="AB30" t="s">
        <v>1026</v>
      </c>
      <c r="AC30" t="s">
        <v>98</v>
      </c>
      <c r="AD30" t="s">
        <v>1027</v>
      </c>
      <c r="AE30">
        <v>4922</v>
      </c>
      <c r="AF30" t="s">
        <v>1028</v>
      </c>
      <c r="AI30">
        <v>49220000</v>
      </c>
      <c r="AJ30" t="s">
        <v>1027</v>
      </c>
      <c r="AM30">
        <v>486210</v>
      </c>
      <c r="AN30" t="s">
        <v>1029</v>
      </c>
      <c r="AQ30" t="s">
        <v>75</v>
      </c>
      <c r="AR30" t="s">
        <v>1030</v>
      </c>
      <c r="AS30" t="s">
        <v>1031</v>
      </c>
      <c r="AT30" t="s">
        <v>76</v>
      </c>
      <c r="AU30" t="s">
        <v>80</v>
      </c>
      <c r="AV30" t="s">
        <v>62</v>
      </c>
      <c r="AW30" t="s">
        <v>1030</v>
      </c>
      <c r="AX30" t="s">
        <v>1031</v>
      </c>
      <c r="AY30" t="s">
        <v>80</v>
      </c>
      <c r="AZ30" t="s">
        <v>62</v>
      </c>
      <c r="BB30" t="s">
        <v>1032</v>
      </c>
      <c r="BC30" t="s">
        <v>1019</v>
      </c>
      <c r="BD30" t="s">
        <v>80</v>
      </c>
      <c r="BE30" t="s">
        <v>62</v>
      </c>
      <c r="BF30">
        <v>2</v>
      </c>
      <c r="BG30">
        <v>1134</v>
      </c>
      <c r="BH30" s="4" t="s">
        <v>1030</v>
      </c>
      <c r="BI30" s="4" t="s">
        <v>1031</v>
      </c>
      <c r="BJ30" s="4" t="s">
        <v>4163</v>
      </c>
      <c r="BK30" s="4" t="s">
        <v>4164</v>
      </c>
      <c r="BL30" s="4" t="s">
        <v>112</v>
      </c>
      <c r="BM30" s="4" t="s">
        <v>94</v>
      </c>
      <c r="BN30" s="4" t="s">
        <v>800</v>
      </c>
      <c r="BO30" s="4" t="s">
        <v>62</v>
      </c>
      <c r="BP30" s="4">
        <v>7133699000</v>
      </c>
      <c r="BQ30" s="5">
        <v>11700000000</v>
      </c>
      <c r="BR30" s="4">
        <v>38</v>
      </c>
      <c r="BS30" s="6">
        <v>11086</v>
      </c>
      <c r="BT30" s="4">
        <v>2006</v>
      </c>
      <c r="BU30" s="4" t="s">
        <v>163</v>
      </c>
      <c r="BV30" s="4" t="s">
        <v>4165</v>
      </c>
      <c r="BW30" s="4" t="s">
        <v>133</v>
      </c>
      <c r="BX30" s="4" t="s">
        <v>1027</v>
      </c>
      <c r="BY30" s="4">
        <v>4922</v>
      </c>
      <c r="BZ30" s="4" t="s">
        <v>1028</v>
      </c>
      <c r="CC30" s="4">
        <v>49229901</v>
      </c>
      <c r="CD30" s="4" t="s">
        <v>1108</v>
      </c>
      <c r="CG30" s="4">
        <v>486210</v>
      </c>
      <c r="CH30" s="4" t="s">
        <v>1029</v>
      </c>
      <c r="CK30" s="19">
        <f>IF(BQ30&gt;0,BQ30,W30)</f>
        <v>11700000000</v>
      </c>
      <c r="CL30" s="20">
        <f>IF(BS30&gt;0,BS30,Y30)</f>
        <v>11086</v>
      </c>
      <c r="CM30" s="34">
        <f>IF(CG30&gt;0,CG30,AM30)</f>
        <v>486210</v>
      </c>
      <c r="CN30" s="80">
        <f>IF($BH30="",1,COUNTIF($BH$3:$BH30,$BH30))</f>
        <v>3</v>
      </c>
      <c r="CP30" t="str">
        <f>IF($K30="Standard Match","Match",IF($K30="Name Only Match",IF($CO30="Yes","Match","Name Only Match"),"No Match"))</f>
        <v>Match</v>
      </c>
      <c r="CQ30" s="35" t="str">
        <f>IF(AND(CP30="Match",CK30&gt;0,CL30&gt;0),"Y","N")</f>
        <v>Y</v>
      </c>
      <c r="CS30" t="str">
        <f>IF($CQ30="Y",VLOOKUP($CM30,'SBA Size Standards'!$B$3:$G$57,MATCH('SBA Size Standards'!$G$3,'SBA Size Standards'!$B$3:$G$3,0),FALSE),"")</f>
        <v>Revenue</v>
      </c>
      <c r="CT30" s="60">
        <f>IF(CQ30="Y",IF($CS30="Employment","N/A",VLOOKUP($CM30,'SBA Size Standards'!$B$3:$G$57,MATCH('SBA Size Standards'!$E$3,'SBA Size Standards'!$B$3:$G$3,0),FALSE)),"")</f>
        <v>30000000</v>
      </c>
      <c r="CU30" s="86" t="str">
        <f>IF($CQ30="Y",IF($CS30="Revenue","N/A",VLOOKUP($CM30,'SBA Size Standards'!$B$3:$G$57,MATCH('SBA Size Standards'!$F$3,'SBA Size Standards'!$B$3:$G$3,0),FALSE)),"")</f>
        <v>N/A</v>
      </c>
      <c r="CV30" t="str">
        <f>IF($CQ30="Y",IF(OR(AND($CS30="Employment",$CL30&lt;$CU30),AND($CS30="Revenue",$CK30&lt;$CT30)),"YES","NO"),"")</f>
        <v>NO</v>
      </c>
      <c r="CW30" s="90" t="str">
        <f>IF($CQ30="Y",INDEX('SBA Size Standards'!$N$3:$N$12,MATCH($CK30,'SBA Size Standards'!$O$3:$O$12,1)),"")</f>
        <v>$1,000,000,001 -$125,000,000,000</v>
      </c>
      <c r="CX30" s="122" t="s">
        <v>4593</v>
      </c>
      <c r="CY30" s="122">
        <f>INDEX('NM O&amp;G Production'!$P$3:$P$537,MATCH(CX30,'NM O&amp;G Production'!$Q$3:$Q$537,0))</f>
        <v>135</v>
      </c>
      <c r="CZ30" s="122" t="str">
        <f>INDEX('NM O&amp;G Production'!$O$3:$O$537,MATCH(CY30,'NM O&amp;G Production'!$P$3:$P$537,0))</f>
        <v>No</v>
      </c>
      <c r="DA30" s="127">
        <f>INDEX('NM O&amp;G Production'!$K$3:$O$537,MATCH($CY30,'NM O&amp;G Production'!$P$3:$P$537,0),MATCH(DA$2,'NM O&amp;G Production'!$K$2:$O$2,0))</f>
        <v>0</v>
      </c>
      <c r="DB30" s="127">
        <f>INDEX('NM O&amp;G Production'!$K$3:$O$537,MATCH($CY30,'NM O&amp;G Production'!$P$3:$P$537,0),MATCH(DB$2,'NM O&amp;G Production'!$K$2:$O$2,0))</f>
        <v>0</v>
      </c>
      <c r="DC30" s="127"/>
      <c r="DD30" s="127">
        <f>INDEX('NM O&amp;G Production'!$K$3:$O$537,MATCH($CY30,'NM O&amp;G Production'!$P$3:$P$537,0),MATCH(DD$2,'NM O&amp;G Production'!$K$2:$O$2,0))</f>
        <v>0</v>
      </c>
      <c r="DE30" s="127">
        <f>INDEX('NM O&amp;G Production'!$K$3:$O$537,MATCH($CY30,'NM O&amp;G Production'!$P$3:$P$537,0),MATCH(DE$2,'NM O&amp;G Production'!$K$2:$O$2,0))</f>
        <v>0</v>
      </c>
      <c r="DF30" s="258" t="e">
        <f>CK30/(DB30+DA30)</f>
        <v>#DIV/0!</v>
      </c>
      <c r="DG30" s="57">
        <f>DD30*(12/18)*1.06*'Oil and Gas Prices'!$C$18</f>
        <v>0</v>
      </c>
      <c r="DH30" s="284">
        <f>DE30*(12/18)*'Oil and Gas Prices'!$C$4</f>
        <v>0</v>
      </c>
      <c r="DI30" s="284"/>
      <c r="DJ30" s="57" t="e">
        <f>(DG30+DH30)/(DA30+DB30)</f>
        <v>#DIV/0!</v>
      </c>
      <c r="DK30" s="18" t="e">
        <f>CK30/DI30</f>
        <v>#DIV/0!</v>
      </c>
    </row>
    <row r="31" spans="1:115" x14ac:dyDescent="0.25">
      <c r="A31" t="s">
        <v>1534</v>
      </c>
      <c r="B31" t="s">
        <v>1535</v>
      </c>
      <c r="D31" t="s">
        <v>83</v>
      </c>
      <c r="E31" t="s">
        <v>84</v>
      </c>
      <c r="F31">
        <v>88211</v>
      </c>
      <c r="G31" t="s">
        <v>62</v>
      </c>
      <c r="I31">
        <v>209</v>
      </c>
      <c r="J31" t="s">
        <v>63</v>
      </c>
      <c r="K31" t="s">
        <v>4133</v>
      </c>
      <c r="L31" t="s">
        <v>149</v>
      </c>
      <c r="M31">
        <v>10</v>
      </c>
      <c r="N31" t="s">
        <v>1536</v>
      </c>
      <c r="O31" t="s">
        <v>1537</v>
      </c>
      <c r="Q31" t="s">
        <v>1538</v>
      </c>
      <c r="R31" t="s">
        <v>83</v>
      </c>
      <c r="S31" t="s">
        <v>214</v>
      </c>
      <c r="T31" t="s">
        <v>1539</v>
      </c>
      <c r="U31" t="s">
        <v>62</v>
      </c>
      <c r="V31">
        <v>5757483311</v>
      </c>
      <c r="W31" s="1">
        <v>162604085</v>
      </c>
      <c r="X31">
        <v>400</v>
      </c>
      <c r="Y31">
        <v>500</v>
      </c>
      <c r="Z31">
        <v>1969</v>
      </c>
      <c r="AA31" t="s">
        <v>163</v>
      </c>
      <c r="AB31" t="s">
        <v>1540</v>
      </c>
      <c r="AC31" t="s">
        <v>923</v>
      </c>
      <c r="AD31" t="s">
        <v>1320</v>
      </c>
      <c r="AE31">
        <v>2911</v>
      </c>
      <c r="AF31" t="s">
        <v>774</v>
      </c>
      <c r="AG31">
        <v>2951</v>
      </c>
      <c r="AH31" t="s">
        <v>1541</v>
      </c>
      <c r="AI31">
        <v>29110200</v>
      </c>
      <c r="AJ31" t="s">
        <v>1542</v>
      </c>
      <c r="AK31">
        <v>29510000</v>
      </c>
      <c r="AL31" t="s">
        <v>1543</v>
      </c>
      <c r="AM31">
        <v>324110</v>
      </c>
      <c r="AN31" t="s">
        <v>776</v>
      </c>
      <c r="AO31">
        <v>324121</v>
      </c>
      <c r="AP31" t="s">
        <v>1544</v>
      </c>
      <c r="AQ31" t="s">
        <v>168</v>
      </c>
      <c r="AR31" t="s">
        <v>1545</v>
      </c>
      <c r="AS31" t="s">
        <v>1546</v>
      </c>
      <c r="AT31" t="s">
        <v>76</v>
      </c>
      <c r="AU31" t="s">
        <v>80</v>
      </c>
      <c r="AV31" t="s">
        <v>62</v>
      </c>
      <c r="AW31" t="s">
        <v>1545</v>
      </c>
      <c r="AX31" t="s">
        <v>1546</v>
      </c>
      <c r="AY31" t="s">
        <v>80</v>
      </c>
      <c r="AZ31" t="s">
        <v>62</v>
      </c>
      <c r="BA31" t="s">
        <v>1545</v>
      </c>
      <c r="BC31" t="s">
        <v>1546</v>
      </c>
      <c r="BD31" t="s">
        <v>80</v>
      </c>
      <c r="BE31" t="s">
        <v>62</v>
      </c>
      <c r="BF31">
        <v>2</v>
      </c>
      <c r="BG31">
        <v>128</v>
      </c>
      <c r="BH31" s="4" t="s">
        <v>1545</v>
      </c>
      <c r="BI31" s="4" t="s">
        <v>1546</v>
      </c>
      <c r="BK31" s="4" t="s">
        <v>4173</v>
      </c>
      <c r="BL31" s="4" t="s">
        <v>378</v>
      </c>
      <c r="BM31" s="4" t="s">
        <v>94</v>
      </c>
      <c r="BN31" s="4" t="s">
        <v>4174</v>
      </c>
      <c r="BO31" s="4" t="s">
        <v>62</v>
      </c>
      <c r="BP31" s="4">
        <v>2148713555</v>
      </c>
      <c r="BQ31" s="5">
        <v>11183643000</v>
      </c>
      <c r="BR31" s="4">
        <v>380</v>
      </c>
      <c r="BS31" s="6">
        <v>4074</v>
      </c>
      <c r="BT31" s="4">
        <v>1947</v>
      </c>
      <c r="BU31" s="4" t="s">
        <v>163</v>
      </c>
      <c r="BV31" s="4" t="s">
        <v>1540</v>
      </c>
      <c r="BW31" s="4" t="s">
        <v>98</v>
      </c>
      <c r="BX31" s="4" t="s">
        <v>1320</v>
      </c>
      <c r="BY31" s="4">
        <v>2911</v>
      </c>
      <c r="BZ31" s="4" t="s">
        <v>774</v>
      </c>
      <c r="CA31" s="4">
        <v>4613</v>
      </c>
      <c r="CB31" s="4" t="s">
        <v>394</v>
      </c>
      <c r="CC31" s="4">
        <v>29110000</v>
      </c>
      <c r="CD31" s="4" t="s">
        <v>1320</v>
      </c>
      <c r="CE31" s="4">
        <v>46130000</v>
      </c>
      <c r="CF31" s="4" t="s">
        <v>395</v>
      </c>
      <c r="CG31" s="4">
        <v>324110</v>
      </c>
      <c r="CH31" s="4" t="s">
        <v>776</v>
      </c>
      <c r="CI31" s="4">
        <v>486910</v>
      </c>
      <c r="CJ31" s="4" t="s">
        <v>396</v>
      </c>
      <c r="CK31" s="19">
        <f>IF(BQ31&gt;0,BQ31,W31)</f>
        <v>11183643000</v>
      </c>
      <c r="CL31" s="20">
        <f>IF(BS31&gt;0,BS31,Y31)</f>
        <v>4074</v>
      </c>
      <c r="CM31" s="34">
        <f>IF(CG31&gt;0,CG31,AM31)</f>
        <v>324110</v>
      </c>
      <c r="CN31" s="80">
        <f>IF($BH31="",1,COUNTIF($BH$3:$BH31,$BH31))</f>
        <v>1</v>
      </c>
      <c r="CP31" t="str">
        <f>IF($K31="Standard Match","Match",IF($K31="Name Only Match",IF($CO31="Yes","Match","Name Only Match"),"No Match"))</f>
        <v>Match</v>
      </c>
      <c r="CQ31" s="35" t="str">
        <f>IF(AND(CP31="Match",CK31&gt;0,CL31&gt;0),"Y","N")</f>
        <v>Y</v>
      </c>
      <c r="CS31" t="str">
        <f>IF($CQ31="Y",VLOOKUP($CM31,'SBA Size Standards'!$B$3:$G$57,MATCH('SBA Size Standards'!$G$3,'SBA Size Standards'!$B$3:$G$3,0),FALSE),"")</f>
        <v>Employment</v>
      </c>
      <c r="CT31" s="60" t="str">
        <f>IF(CQ31="Y",IF($CS31="Employment","N/A",VLOOKUP($CM31,'SBA Size Standards'!$B$3:$G$57,MATCH('SBA Size Standards'!$E$3,'SBA Size Standards'!$B$3:$G$3,0),FALSE)),"")</f>
        <v>N/A</v>
      </c>
      <c r="CU31" s="86">
        <f>IF($CQ31="Y",IF($CS31="Revenue","N/A",VLOOKUP($CM31,'SBA Size Standards'!$B$3:$G$57,MATCH('SBA Size Standards'!$F$3,'SBA Size Standards'!$B$3:$G$3,0),FALSE)),"")</f>
        <v>1500</v>
      </c>
      <c r="CV31" t="str">
        <f>IF($CQ31="Y",IF(OR(AND($CS31="Employment",$CL31&lt;$CU31),AND($CS31="Revenue",$CK31&lt;$CT31)),"YES","NO"),"")</f>
        <v>NO</v>
      </c>
      <c r="CW31" s="90" t="str">
        <f>IF($CQ31="Y",INDEX('SBA Size Standards'!$N$3:$N$12,MATCH($CK31,'SBA Size Standards'!$O$3:$O$12,1)),"")</f>
        <v>$1,000,000,001 -$125,000,000,000</v>
      </c>
      <c r="CX31" s="122" t="s">
        <v>4633</v>
      </c>
      <c r="CY31" s="122">
        <f>INDEX('NM O&amp;G Production'!$P$3:$P$537,MATCH(CX31,'NM O&amp;G Production'!$Q$3:$Q$537,0))</f>
        <v>209</v>
      </c>
      <c r="CZ31" s="122" t="str">
        <f>INDEX('NM O&amp;G Production'!$O$3:$O$537,MATCH(CY31,'NM O&amp;G Production'!$P$3:$P$537,0))</f>
        <v>No</v>
      </c>
      <c r="DA31" s="127">
        <f>INDEX('NM O&amp;G Production'!$K$3:$O$537,MATCH($CY31,'NM O&amp;G Production'!$P$3:$P$537,0),MATCH(DA$2,'NM O&amp;G Production'!$K$2:$O$2,0))</f>
        <v>0</v>
      </c>
      <c r="DB31" s="127">
        <f>INDEX('NM O&amp;G Production'!$K$3:$O$537,MATCH($CY31,'NM O&amp;G Production'!$P$3:$P$537,0),MATCH(DB$2,'NM O&amp;G Production'!$K$2:$O$2,0))</f>
        <v>0</v>
      </c>
      <c r="DC31" s="127"/>
      <c r="DD31" s="127">
        <f>INDEX('NM O&amp;G Production'!$K$3:$O$537,MATCH($CY31,'NM O&amp;G Production'!$P$3:$P$537,0),MATCH(DD$2,'NM O&amp;G Production'!$K$2:$O$2,0))</f>
        <v>0</v>
      </c>
      <c r="DE31" s="127">
        <f>INDEX('NM O&amp;G Production'!$K$3:$O$537,MATCH($CY31,'NM O&amp;G Production'!$P$3:$P$537,0),MATCH(DE$2,'NM O&amp;G Production'!$K$2:$O$2,0))</f>
        <v>0</v>
      </c>
      <c r="DF31" s="258" t="e">
        <f>CK31/(DB31+DA31)</f>
        <v>#DIV/0!</v>
      </c>
      <c r="DG31" s="57">
        <f>DD31*(12/18)*1.06*'Oil and Gas Prices'!$C$18</f>
        <v>0</v>
      </c>
      <c r="DH31" s="284">
        <f>DE31*(12/18)*'Oil and Gas Prices'!$C$4</f>
        <v>0</v>
      </c>
      <c r="DI31" s="284"/>
      <c r="DJ31" s="57" t="e">
        <f>(DG31+DH31)/(DA31+DB31)</f>
        <v>#DIV/0!</v>
      </c>
      <c r="DK31" s="18" t="e">
        <f>CK31/DI31</f>
        <v>#DIV/0!</v>
      </c>
    </row>
    <row r="32" spans="1:115" x14ac:dyDescent="0.25">
      <c r="A32" s="21" t="s">
        <v>1176</v>
      </c>
      <c r="B32" s="21" t="s">
        <v>1177</v>
      </c>
      <c r="C32" s="21"/>
      <c r="D32" s="21" t="s">
        <v>153</v>
      </c>
      <c r="E32" s="21" t="s">
        <v>80</v>
      </c>
      <c r="F32" s="21">
        <v>79702</v>
      </c>
      <c r="G32" s="21" t="s">
        <v>62</v>
      </c>
      <c r="H32" s="21"/>
      <c r="I32" s="21">
        <v>153</v>
      </c>
      <c r="J32" s="21" t="s">
        <v>89</v>
      </c>
      <c r="K32" s="21" t="s">
        <v>4133</v>
      </c>
      <c r="L32" s="21" t="s">
        <v>279</v>
      </c>
      <c r="M32" s="21">
        <v>8</v>
      </c>
      <c r="N32" s="21" t="s">
        <v>1178</v>
      </c>
      <c r="O32" s="21" t="s">
        <v>1179</v>
      </c>
      <c r="P32" s="21"/>
      <c r="Q32" s="21" t="s">
        <v>1180</v>
      </c>
      <c r="R32" s="21" t="s">
        <v>153</v>
      </c>
      <c r="S32" s="21" t="s">
        <v>94</v>
      </c>
      <c r="T32" s="21" t="s">
        <v>1181</v>
      </c>
      <c r="U32" s="21" t="s">
        <v>62</v>
      </c>
      <c r="V32" s="21">
        <v>4326992379</v>
      </c>
      <c r="W32" s="23">
        <v>888233</v>
      </c>
      <c r="X32" s="21">
        <v>7</v>
      </c>
      <c r="Y32" s="21">
        <v>7</v>
      </c>
      <c r="Z32" s="21">
        <v>2011</v>
      </c>
      <c r="AA32" s="21" t="s">
        <v>70</v>
      </c>
      <c r="AB32" s="21" t="s">
        <v>1182</v>
      </c>
      <c r="AC32" s="21" t="s">
        <v>231</v>
      </c>
      <c r="AD32" s="21" t="s">
        <v>505</v>
      </c>
      <c r="AE32" s="21">
        <v>8742</v>
      </c>
      <c r="AF32" s="21" t="s">
        <v>506</v>
      </c>
      <c r="AG32" s="21"/>
      <c r="AH32" s="21"/>
      <c r="AI32" s="21">
        <v>87420500</v>
      </c>
      <c r="AJ32" t="s">
        <v>538</v>
      </c>
      <c r="AM32" s="21">
        <v>541611</v>
      </c>
      <c r="AN32" s="21" t="s">
        <v>510</v>
      </c>
      <c r="AO32" s="21"/>
      <c r="AP32" s="21"/>
      <c r="AQ32" s="21" t="s">
        <v>75</v>
      </c>
      <c r="AT32" t="s">
        <v>76</v>
      </c>
      <c r="BF32">
        <v>0</v>
      </c>
      <c r="BG32">
        <v>0</v>
      </c>
      <c r="BI32" s="4" t="s">
        <v>5200</v>
      </c>
      <c r="BK32" s="4" t="s">
        <v>5201</v>
      </c>
      <c r="BL32" s="4" t="s">
        <v>112</v>
      </c>
      <c r="BM32" s="4" t="s">
        <v>94</v>
      </c>
      <c r="BN32" s="4">
        <v>77002</v>
      </c>
      <c r="BO32" s="4" t="s">
        <v>62</v>
      </c>
      <c r="BQ32" s="4">
        <v>9870000000</v>
      </c>
      <c r="BU32" s="4" t="s">
        <v>163</v>
      </c>
      <c r="CH32" s="4" t="s">
        <v>5202</v>
      </c>
      <c r="CK32" s="19">
        <f>IF(BQ32&gt;0,BQ32,W32)</f>
        <v>9870000000</v>
      </c>
      <c r="CL32" s="20">
        <f>IF(BS32&gt;0,BS32,Y32)</f>
        <v>7</v>
      </c>
      <c r="CM32" s="34">
        <f>IF(CG32&gt;0,CG32,AM32)</f>
        <v>541611</v>
      </c>
      <c r="CN32" s="80">
        <f>IF($BH32="",1,COUNTIF($BH$3:$BH32,$BH32))</f>
        <v>1</v>
      </c>
      <c r="CO32" s="21"/>
      <c r="CP32" s="21" t="str">
        <f>IF($K32="Standard Match","Match",IF($K32="Name Only Match",IF($CO32="Yes","Match","Name Only Match"),"No Match"))</f>
        <v>Match</v>
      </c>
      <c r="CQ32" s="61" t="str">
        <f>IF(AND(CP32="Match",CK32&gt;0,CL32&gt;0),"Y","N")</f>
        <v>Y</v>
      </c>
      <c r="CR32" s="21" t="s">
        <v>5203</v>
      </c>
      <c r="CS32" s="21" t="str">
        <f>IF($CQ32="Y",VLOOKUP($CM32,'SBA Size Standards'!$B$3:$G$57,MATCH('SBA Size Standards'!$G$3,'SBA Size Standards'!$B$3:$G$3,0),FALSE),"")</f>
        <v>Revenue</v>
      </c>
      <c r="CT32" s="60">
        <f>IF(CQ32="Y",IF($CS32="Employment","N/A",VLOOKUP($CM32,'SBA Size Standards'!$B$3:$G$57,MATCH('SBA Size Standards'!$E$3,'SBA Size Standards'!$B$3:$G$3,0),FALSE)),"")</f>
        <v>16500000</v>
      </c>
      <c r="CU32" s="313" t="str">
        <f>IF($CQ32="Y",IF($CS32="Revenue","N/A",VLOOKUP($CM32,'SBA Size Standards'!$B$3:$G$57,MATCH('SBA Size Standards'!$F$3,'SBA Size Standards'!$B$3:$G$3,0),FALSE)),"")</f>
        <v>N/A</v>
      </c>
      <c r="CV32" s="21" t="str">
        <f>IF($CQ32="Y",IF(OR(AND($CS32="Employment",$CL32&lt;$CU32),AND($CS32="Revenue",$CK32&lt;$CT32)),"YES","NO"),"")</f>
        <v>NO</v>
      </c>
      <c r="CW32" s="90" t="str">
        <f>IF($CQ32="Y",INDEX('SBA Size Standards'!$N$3:$N$12,MATCH($CK32,'SBA Size Standards'!$O$3:$O$12,1)),"")</f>
        <v>$1,000,000,001 -$125,000,000,000</v>
      </c>
      <c r="CX32" s="122" t="s">
        <v>4838</v>
      </c>
      <c r="CY32" s="122">
        <f>INDEX('NM O&amp;G Production'!$P$3:$P$537,MATCH(CX32,'NM O&amp;G Production'!$Q$3:$Q$537,0))</f>
        <v>153</v>
      </c>
      <c r="CZ32" s="122" t="str">
        <f>INDEX('NM O&amp;G Production'!$O$3:$O$537,MATCH(CY32,'NM O&amp;G Production'!$P$3:$P$537,0))</f>
        <v>Yes</v>
      </c>
      <c r="DA32" s="122">
        <f>INDEX('NM O&amp;G Production'!$K$3:$O$537,MATCH($CY32,'NM O&amp;G Production'!$P$3:$P$537,0),MATCH(DA$2,'NM O&amp;G Production'!$K$2:$O$2,0))</f>
        <v>1170</v>
      </c>
      <c r="DB32" s="122">
        <f>INDEX('NM O&amp;G Production'!$K$3:$O$537,MATCH($CY32,'NM O&amp;G Production'!$P$3:$P$537,0),MATCH(DB$2,'NM O&amp;G Production'!$K$2:$O$2,0))</f>
        <v>847</v>
      </c>
      <c r="DC32" s="127">
        <f>DA32+DB32</f>
        <v>2017</v>
      </c>
      <c r="DD32" s="122">
        <f>INDEX('NM O&amp;G Production'!$K$3:$O$537,MATCH($CY32,'NM O&amp;G Production'!$P$3:$P$537,0),MATCH(DD$2,'NM O&amp;G Production'!$K$2:$O$2,0))</f>
        <v>215594964</v>
      </c>
      <c r="DE32" s="122">
        <f>INDEX('NM O&amp;G Production'!$K$3:$O$537,MATCH($CY32,'NM O&amp;G Production'!$P$3:$P$537,0),MATCH(DE$2,'NM O&amp;G Production'!$K$2:$O$2,0))</f>
        <v>75846044</v>
      </c>
      <c r="DF32" s="258">
        <f>CK32/(DB32+DA32)</f>
        <v>4893406.0485870102</v>
      </c>
      <c r="DG32" s="57">
        <f>DD32*(12/18)*1.06*'Oil and Gas Prices'!$C$18</f>
        <v>364125521.19840002</v>
      </c>
      <c r="DH32" s="284">
        <f>DE32*(12/18)*'Oil and Gas Prices'!$C$4</f>
        <v>2275381320</v>
      </c>
      <c r="DI32" s="284">
        <f>DG32+DH32</f>
        <v>2639506841.1984</v>
      </c>
      <c r="DJ32" s="57">
        <f>(DG32+DH32)/(DA32+DB32)</f>
        <v>1308630.0650463065</v>
      </c>
      <c r="DK32" s="318"/>
    </row>
    <row r="33" spans="1:115" x14ac:dyDescent="0.25">
      <c r="A33" s="21" t="s">
        <v>1222</v>
      </c>
      <c r="B33" s="21" t="s">
        <v>1223</v>
      </c>
      <c r="C33" s="21"/>
      <c r="D33" s="21" t="s">
        <v>1224</v>
      </c>
      <c r="E33" s="21" t="s">
        <v>1225</v>
      </c>
      <c r="F33">
        <v>28202</v>
      </c>
      <c r="G33" t="s">
        <v>62</v>
      </c>
      <c r="I33">
        <v>160</v>
      </c>
      <c r="J33" t="s">
        <v>63</v>
      </c>
      <c r="K33" t="s">
        <v>4134</v>
      </c>
      <c r="L33" t="s">
        <v>3627</v>
      </c>
      <c r="M33">
        <v>8</v>
      </c>
      <c r="N33" t="s">
        <v>3654</v>
      </c>
      <c r="O33" s="21" t="s">
        <v>3655</v>
      </c>
      <c r="P33" s="21"/>
      <c r="Q33" s="21" t="s">
        <v>3656</v>
      </c>
      <c r="R33" s="21" t="s">
        <v>60</v>
      </c>
      <c r="S33" s="21" t="s">
        <v>68</v>
      </c>
      <c r="T33" t="s">
        <v>3657</v>
      </c>
      <c r="U33" t="s">
        <v>62</v>
      </c>
      <c r="V33">
        <v>3032988100</v>
      </c>
      <c r="W33" s="23">
        <v>1119326666</v>
      </c>
      <c r="X33" s="21">
        <v>65</v>
      </c>
      <c r="Y33" s="21">
        <v>354</v>
      </c>
      <c r="Z33">
        <v>1981</v>
      </c>
      <c r="AA33" s="21" t="s">
        <v>163</v>
      </c>
      <c r="AB33" t="s">
        <v>3658</v>
      </c>
      <c r="AC33" t="s">
        <v>98</v>
      </c>
      <c r="AD33" s="21" t="s">
        <v>99</v>
      </c>
      <c r="AE33">
        <v>1311</v>
      </c>
      <c r="AF33" t="s">
        <v>100</v>
      </c>
      <c r="AG33">
        <v>1382</v>
      </c>
      <c r="AH33" t="s">
        <v>120</v>
      </c>
      <c r="AI33">
        <v>13110102</v>
      </c>
      <c r="AJ33" t="s">
        <v>599</v>
      </c>
      <c r="AK33">
        <v>13829902</v>
      </c>
      <c r="AL33" t="s">
        <v>243</v>
      </c>
      <c r="AM33" s="21">
        <v>211120</v>
      </c>
      <c r="AN33" s="21" t="s">
        <v>104</v>
      </c>
      <c r="AO33" s="21">
        <v>213112</v>
      </c>
      <c r="AP33" s="21" t="s">
        <v>74</v>
      </c>
      <c r="AQ33" s="21" t="s">
        <v>168</v>
      </c>
      <c r="AR33" t="s">
        <v>3659</v>
      </c>
      <c r="AS33" t="s">
        <v>3660</v>
      </c>
      <c r="AT33" t="s">
        <v>76</v>
      </c>
      <c r="AU33" t="s">
        <v>80</v>
      </c>
      <c r="AV33" t="s">
        <v>62</v>
      </c>
      <c r="AW33" t="s">
        <v>3659</v>
      </c>
      <c r="AX33" t="s">
        <v>3660</v>
      </c>
      <c r="AY33" t="s">
        <v>80</v>
      </c>
      <c r="AZ33" t="s">
        <v>62</v>
      </c>
      <c r="BA33" t="s">
        <v>3659</v>
      </c>
      <c r="BC33" t="s">
        <v>3660</v>
      </c>
      <c r="BD33" t="s">
        <v>80</v>
      </c>
      <c r="BE33" t="s">
        <v>62</v>
      </c>
      <c r="BF33">
        <v>2</v>
      </c>
      <c r="BG33" s="24">
        <v>76</v>
      </c>
      <c r="BH33" s="24" t="s">
        <v>3659</v>
      </c>
      <c r="BI33" s="24" t="s">
        <v>3660</v>
      </c>
      <c r="BJ33" s="24" t="s">
        <v>4311</v>
      </c>
      <c r="BK33" s="24" t="s">
        <v>4312</v>
      </c>
      <c r="BL33" s="24" t="s">
        <v>1286</v>
      </c>
      <c r="BM33" s="24" t="s">
        <v>94</v>
      </c>
      <c r="BN33" s="24" t="s">
        <v>4313</v>
      </c>
      <c r="BO33" s="24" t="s">
        <v>62</v>
      </c>
      <c r="BP33" s="4">
        <v>9724449001</v>
      </c>
      <c r="BQ33" s="25">
        <v>9304000000</v>
      </c>
      <c r="BR33" s="24">
        <v>401</v>
      </c>
      <c r="BS33" s="26">
        <v>2323</v>
      </c>
      <c r="BT33" s="4">
        <v>1997</v>
      </c>
      <c r="BU33" s="24" t="s">
        <v>163</v>
      </c>
      <c r="BV33" s="4" t="s">
        <v>4314</v>
      </c>
      <c r="BW33" s="4" t="s">
        <v>133</v>
      </c>
      <c r="BX33" s="24" t="s">
        <v>99</v>
      </c>
      <c r="BY33" s="4">
        <v>1311</v>
      </c>
      <c r="BZ33" s="4" t="s">
        <v>100</v>
      </c>
      <c r="CC33" s="4">
        <v>13110101</v>
      </c>
      <c r="CD33" s="4" t="s">
        <v>102</v>
      </c>
      <c r="CG33" s="24">
        <v>211120</v>
      </c>
      <c r="CH33" s="24" t="s">
        <v>104</v>
      </c>
      <c r="CI33" s="24"/>
      <c r="CJ33" s="24"/>
      <c r="CK33" s="19">
        <f>IF(BQ33&gt;0,BQ33,W33)</f>
        <v>9304000000</v>
      </c>
      <c r="CL33" s="20">
        <f>IF(BS33&gt;0,BS33,Y33)</f>
        <v>2323</v>
      </c>
      <c r="CM33" s="34">
        <f>IF(CG33&gt;0,CG33,AM33)</f>
        <v>211120</v>
      </c>
      <c r="CN33" s="80">
        <f>IF($BH33="",1,COUNTIF($BH$3:$BH33,$BH33))</f>
        <v>1</v>
      </c>
      <c r="CO33" s="33" t="s">
        <v>4386</v>
      </c>
      <c r="CP33" t="str">
        <f>IF($K33="Standard Match","Match",IF($K33="Name Only Match",IF($CO33="Yes","Match","Name Only Match"),"No Match"))</f>
        <v>Match</v>
      </c>
      <c r="CQ33" s="35" t="str">
        <f>IF(AND(CP33="Match",CK33&gt;0,CL33&gt;0),"Y","N")</f>
        <v>Y</v>
      </c>
      <c r="CR33" s="21"/>
      <c r="CS33" t="str">
        <f>IF($CQ33="Y",VLOOKUP($CM33,'SBA Size Standards'!$B$3:$G$57,MATCH('SBA Size Standards'!$G$3,'SBA Size Standards'!$B$3:$G$3,0),FALSE),"")</f>
        <v>Employment</v>
      </c>
      <c r="CT33" s="60" t="str">
        <f>IF(CQ33="Y",IF($CS33="Employment","N/A",VLOOKUP($CM33,'SBA Size Standards'!$B$3:$G$57,MATCH('SBA Size Standards'!$E$3,'SBA Size Standards'!$B$3:$G$3,0),FALSE)),"")</f>
        <v>N/A</v>
      </c>
      <c r="CU33" s="86">
        <f>IF($CQ33="Y",IF($CS33="Revenue","N/A",VLOOKUP($CM33,'SBA Size Standards'!$B$3:$G$57,MATCH('SBA Size Standards'!$F$3,'SBA Size Standards'!$B$3:$G$3,0),FALSE)),"")</f>
        <v>1250</v>
      </c>
      <c r="CV33" t="str">
        <f>IF($CQ33="Y",IF(OR(AND($CS33="Employment",$CL33&lt;$CU33),AND($CS33="Revenue",$CK33&lt;$CT33)),"YES","NO"),"")</f>
        <v>NO</v>
      </c>
      <c r="CW33" s="90" t="str">
        <f>IF($CQ33="Y",INDEX('SBA Size Standards'!$N$3:$N$12,MATCH($CK33,'SBA Size Standards'!$O$3:$O$12,1)),"")</f>
        <v>$1,000,000,001 -$125,000,000,000</v>
      </c>
      <c r="CX33" s="122" t="s">
        <v>4956</v>
      </c>
      <c r="CY33" s="122">
        <f>INDEX('NM O&amp;G Production'!$P$3:$P$537,MATCH(CX33,'NM O&amp;G Production'!$Q$3:$Q$537,0))</f>
        <v>160</v>
      </c>
      <c r="CZ33" s="122" t="str">
        <f>INDEX('NM O&amp;G Production'!$O$3:$O$537,MATCH(CY33,'NM O&amp;G Production'!$P$3:$P$537,0))</f>
        <v>No</v>
      </c>
      <c r="DA33" s="127">
        <f>INDEX('NM O&amp;G Production'!$K$3:$O$537,MATCH($CY33,'NM O&amp;G Production'!$P$3:$P$537,0),MATCH(DA$2,'NM O&amp;G Production'!$K$2:$O$2,0))</f>
        <v>0</v>
      </c>
      <c r="DB33" s="127">
        <f>INDEX('NM O&amp;G Production'!$K$3:$O$537,MATCH($CY33,'NM O&amp;G Production'!$P$3:$P$537,0),MATCH(DB$2,'NM O&amp;G Production'!$K$2:$O$2,0))</f>
        <v>0</v>
      </c>
      <c r="DC33" s="127"/>
      <c r="DD33" s="127">
        <f>INDEX('NM O&amp;G Production'!$K$3:$O$537,MATCH($CY33,'NM O&amp;G Production'!$P$3:$P$537,0),MATCH(DD$2,'NM O&amp;G Production'!$K$2:$O$2,0))</f>
        <v>0</v>
      </c>
      <c r="DE33" s="127">
        <f>INDEX('NM O&amp;G Production'!$K$3:$O$537,MATCH($CY33,'NM O&amp;G Production'!$P$3:$P$537,0),MATCH(DE$2,'NM O&amp;G Production'!$K$2:$O$2,0))</f>
        <v>0</v>
      </c>
      <c r="DF33" s="258" t="e">
        <f>CK33/(DB33+DA33)</f>
        <v>#DIV/0!</v>
      </c>
      <c r="DG33" s="57">
        <f>DD33*(12/18)*1.06*'Oil and Gas Prices'!$C$18</f>
        <v>0</v>
      </c>
      <c r="DH33" s="284">
        <f>DE33*(12/18)*'Oil and Gas Prices'!$C$4</f>
        <v>0</v>
      </c>
      <c r="DI33" s="284"/>
      <c r="DJ33" s="57" t="e">
        <f>(DG33+DH33)/(DA33+DB33)</f>
        <v>#DIV/0!</v>
      </c>
      <c r="DK33" s="18" t="e">
        <f>CK33/DI33</f>
        <v>#DIV/0!</v>
      </c>
    </row>
    <row r="34" spans="1:115" x14ac:dyDescent="0.25">
      <c r="A34" t="s">
        <v>2065</v>
      </c>
      <c r="B34" t="s">
        <v>2066</v>
      </c>
      <c r="D34" t="s">
        <v>60</v>
      </c>
      <c r="E34" t="s">
        <v>61</v>
      </c>
      <c r="F34">
        <v>80202</v>
      </c>
      <c r="G34" t="s">
        <v>62</v>
      </c>
      <c r="I34">
        <v>290</v>
      </c>
      <c r="J34" t="s">
        <v>63</v>
      </c>
      <c r="K34" t="s">
        <v>4133</v>
      </c>
      <c r="L34" t="s">
        <v>113</v>
      </c>
      <c r="M34">
        <v>8</v>
      </c>
      <c r="N34" t="s">
        <v>2067</v>
      </c>
      <c r="O34" t="s">
        <v>2068</v>
      </c>
      <c r="Q34" t="s">
        <v>2069</v>
      </c>
      <c r="R34" t="s">
        <v>60</v>
      </c>
      <c r="S34" t="s">
        <v>68</v>
      </c>
      <c r="T34" t="s">
        <v>2070</v>
      </c>
      <c r="U34" t="s">
        <v>62</v>
      </c>
      <c r="V34">
        <v>3039259200</v>
      </c>
      <c r="W34" s="1">
        <v>83885717</v>
      </c>
      <c r="X34">
        <v>34</v>
      </c>
      <c r="Y34">
        <v>98</v>
      </c>
      <c r="Z34">
        <v>2003</v>
      </c>
      <c r="AA34" t="s">
        <v>163</v>
      </c>
      <c r="AB34" t="s">
        <v>2071</v>
      </c>
      <c r="AC34" t="s">
        <v>133</v>
      </c>
      <c r="AD34" t="s">
        <v>119</v>
      </c>
      <c r="AE34">
        <v>1382</v>
      </c>
      <c r="AF34" t="s">
        <v>120</v>
      </c>
      <c r="AI34">
        <v>13820000</v>
      </c>
      <c r="AJ34" t="s">
        <v>119</v>
      </c>
      <c r="AM34">
        <v>213112</v>
      </c>
      <c r="AN34" t="s">
        <v>74</v>
      </c>
      <c r="AQ34" t="s">
        <v>168</v>
      </c>
      <c r="AR34" t="s">
        <v>2072</v>
      </c>
      <c r="AS34" t="s">
        <v>2073</v>
      </c>
      <c r="AT34" t="s">
        <v>76</v>
      </c>
      <c r="AU34" t="s">
        <v>2074</v>
      </c>
      <c r="AV34" t="s">
        <v>62</v>
      </c>
      <c r="AW34" t="s">
        <v>2072</v>
      </c>
      <c r="AX34" t="s">
        <v>2073</v>
      </c>
      <c r="AY34" t="s">
        <v>2074</v>
      </c>
      <c r="AZ34" t="s">
        <v>62</v>
      </c>
      <c r="BA34" t="s">
        <v>2075</v>
      </c>
      <c r="BC34" t="s">
        <v>2076</v>
      </c>
      <c r="BD34" t="s">
        <v>61</v>
      </c>
      <c r="BE34" t="s">
        <v>62</v>
      </c>
      <c r="BF34">
        <v>3</v>
      </c>
      <c r="BG34">
        <v>207</v>
      </c>
      <c r="BH34" s="4" t="s">
        <v>2072</v>
      </c>
      <c r="BI34" s="4" t="s">
        <v>2073</v>
      </c>
      <c r="BK34" s="4" t="s">
        <v>3538</v>
      </c>
      <c r="BL34" s="4" t="s">
        <v>3535</v>
      </c>
      <c r="BM34" s="4" t="s">
        <v>3539</v>
      </c>
      <c r="BN34" s="4">
        <v>45840</v>
      </c>
      <c r="BO34" s="4" t="s">
        <v>62</v>
      </c>
      <c r="BP34" s="4">
        <v>4194212414</v>
      </c>
      <c r="BQ34" s="5">
        <v>9041000000</v>
      </c>
      <c r="BR34" s="4">
        <v>28</v>
      </c>
      <c r="BS34" s="6">
        <v>6200</v>
      </c>
      <c r="BT34" s="4">
        <v>2012</v>
      </c>
      <c r="BU34" s="4" t="s">
        <v>163</v>
      </c>
      <c r="BV34" s="4" t="s">
        <v>4285</v>
      </c>
      <c r="BW34" s="4" t="s">
        <v>98</v>
      </c>
      <c r="BX34" s="4" t="s">
        <v>1392</v>
      </c>
      <c r="BY34" s="4">
        <v>4612</v>
      </c>
      <c r="BZ34" s="4" t="s">
        <v>1393</v>
      </c>
      <c r="CA34" s="4">
        <v>4613</v>
      </c>
      <c r="CB34" s="4" t="s">
        <v>394</v>
      </c>
      <c r="CC34" s="4">
        <v>46120000</v>
      </c>
      <c r="CD34" s="4" t="s">
        <v>1392</v>
      </c>
      <c r="CE34" s="4">
        <v>46130000</v>
      </c>
      <c r="CF34" s="4" t="s">
        <v>395</v>
      </c>
      <c r="CG34" s="4">
        <v>486110</v>
      </c>
      <c r="CH34" s="4" t="s">
        <v>1394</v>
      </c>
      <c r="CI34" s="4">
        <v>486910</v>
      </c>
      <c r="CJ34" s="4" t="s">
        <v>396</v>
      </c>
      <c r="CK34" s="19">
        <f>IF(BQ34&gt;0,BQ34,W34)</f>
        <v>9041000000</v>
      </c>
      <c r="CL34" s="20">
        <f>IF(BS34&gt;0,BS34,Y34)</f>
        <v>6200</v>
      </c>
      <c r="CM34" s="34">
        <f>IF(CG34&gt;0,CG34,AM34)</f>
        <v>486110</v>
      </c>
      <c r="CN34" s="80">
        <f>IF($BH34="",1,COUNTIF($BH$3:$BH34,$BH34))</f>
        <v>1</v>
      </c>
      <c r="CP34" t="str">
        <f>IF($K34="Standard Match","Match",IF($K34="Name Only Match",IF($CO34="Yes","Match","Name Only Match"),"No Match"))</f>
        <v>Match</v>
      </c>
      <c r="CQ34" s="35" t="str">
        <f>IF(AND(CP34="Match",CK34&gt;0,CL34&gt;0),"Y","N")</f>
        <v>Y</v>
      </c>
      <c r="CS34" t="str">
        <f>IF($CQ34="Y",VLOOKUP($CM34,'SBA Size Standards'!$B$3:$G$57,MATCH('SBA Size Standards'!$G$3,'SBA Size Standards'!$B$3:$G$3,0),FALSE),"")</f>
        <v>Employment</v>
      </c>
      <c r="CT34" s="60" t="str">
        <f>IF(CQ34="Y",IF($CS34="Employment","N/A",VLOOKUP($CM34,'SBA Size Standards'!$B$3:$G$57,MATCH('SBA Size Standards'!$E$3,'SBA Size Standards'!$B$3:$G$3,0),FALSE)),"")</f>
        <v>N/A</v>
      </c>
      <c r="CU34" s="86">
        <f>IF($CQ34="Y",IF($CS34="Revenue","N/A",VLOOKUP($CM34,'SBA Size Standards'!$B$3:$G$57,MATCH('SBA Size Standards'!$F$3,'SBA Size Standards'!$B$3:$G$3,0),FALSE)),"")</f>
        <v>1500</v>
      </c>
      <c r="CV34" t="str">
        <f>IF($CQ34="Y",IF(OR(AND($CS34="Employment",$CL34&lt;$CU34),AND($CS34="Revenue",$CK34&lt;$CT34)),"YES","NO"),"")</f>
        <v>NO</v>
      </c>
      <c r="CW34" s="90" t="str">
        <f>IF($CQ34="Y",INDEX('SBA Size Standards'!$N$3:$N$12,MATCH($CK34,'SBA Size Standards'!$O$3:$O$12,1)),"")</f>
        <v>$1,000,000,001 -$125,000,000,000</v>
      </c>
      <c r="CX34" s="122" t="s">
        <v>4867</v>
      </c>
      <c r="CY34" s="122">
        <f>INDEX('NM O&amp;G Production'!$P$3:$P$537,MATCH(CX34,'NM O&amp;G Production'!$Q$3:$Q$537,0))</f>
        <v>290</v>
      </c>
      <c r="CZ34" s="122" t="str">
        <f>INDEX('NM O&amp;G Production'!$O$3:$O$537,MATCH(CY34,'NM O&amp;G Production'!$P$3:$P$537,0))</f>
        <v>No</v>
      </c>
      <c r="DA34" s="127">
        <f>INDEX('NM O&amp;G Production'!$K$3:$O$537,MATCH($CY34,'NM O&amp;G Production'!$P$3:$P$537,0),MATCH(DA$2,'NM O&amp;G Production'!$K$2:$O$2,0))</f>
        <v>0</v>
      </c>
      <c r="DB34" s="127">
        <f>INDEX('NM O&amp;G Production'!$K$3:$O$537,MATCH($CY34,'NM O&amp;G Production'!$P$3:$P$537,0),MATCH(DB$2,'NM O&amp;G Production'!$K$2:$O$2,0))</f>
        <v>0</v>
      </c>
      <c r="DC34" s="127"/>
      <c r="DD34" s="127">
        <f>INDEX('NM O&amp;G Production'!$K$3:$O$537,MATCH($CY34,'NM O&amp;G Production'!$P$3:$P$537,0),MATCH(DD$2,'NM O&amp;G Production'!$K$2:$O$2,0))</f>
        <v>0</v>
      </c>
      <c r="DE34" s="127">
        <f>INDEX('NM O&amp;G Production'!$K$3:$O$537,MATCH($CY34,'NM O&amp;G Production'!$P$3:$P$537,0),MATCH(DE$2,'NM O&amp;G Production'!$K$2:$O$2,0))</f>
        <v>0</v>
      </c>
      <c r="DF34" s="258" t="e">
        <f>CK34/(DB34+DA34)</f>
        <v>#DIV/0!</v>
      </c>
      <c r="DG34" s="57">
        <f>DD34*(12/18)*1.06*'Oil and Gas Prices'!$C$18</f>
        <v>0</v>
      </c>
      <c r="DH34" s="284">
        <f>DE34*(12/18)*'Oil and Gas Prices'!$C$4</f>
        <v>0</v>
      </c>
      <c r="DI34" s="284"/>
      <c r="DJ34" s="57" t="e">
        <f>(DG34+DH34)/(DA34+DB34)</f>
        <v>#DIV/0!</v>
      </c>
      <c r="DK34" s="18" t="e">
        <f>CK34/DI34</f>
        <v>#DIV/0!</v>
      </c>
    </row>
    <row r="35" spans="1:115" x14ac:dyDescent="0.25">
      <c r="A35" t="s">
        <v>3533</v>
      </c>
      <c r="B35" t="s">
        <v>3534</v>
      </c>
      <c r="D35" t="s">
        <v>3535</v>
      </c>
      <c r="E35" t="s">
        <v>2074</v>
      </c>
      <c r="F35">
        <v>45840</v>
      </c>
      <c r="G35" t="s">
        <v>62</v>
      </c>
      <c r="I35">
        <v>521</v>
      </c>
      <c r="J35" t="s">
        <v>63</v>
      </c>
      <c r="K35" t="s">
        <v>4133</v>
      </c>
      <c r="L35" t="s">
        <v>113</v>
      </c>
      <c r="M35">
        <v>8</v>
      </c>
      <c r="N35" t="s">
        <v>3536</v>
      </c>
      <c r="O35" t="s">
        <v>3537</v>
      </c>
      <c r="Q35" t="s">
        <v>3538</v>
      </c>
      <c r="R35" t="s">
        <v>3535</v>
      </c>
      <c r="S35" t="s">
        <v>3539</v>
      </c>
      <c r="T35">
        <v>45840</v>
      </c>
      <c r="U35" t="s">
        <v>62</v>
      </c>
      <c r="W35" s="1">
        <v>540256</v>
      </c>
      <c r="X35">
        <v>23</v>
      </c>
      <c r="Y35">
        <v>23</v>
      </c>
      <c r="Z35">
        <v>2019</v>
      </c>
      <c r="AA35" t="s">
        <v>70</v>
      </c>
      <c r="AD35" t="s">
        <v>1392</v>
      </c>
      <c r="AE35">
        <v>4612</v>
      </c>
      <c r="AF35" t="s">
        <v>1393</v>
      </c>
      <c r="AI35">
        <v>46120000</v>
      </c>
      <c r="AJ35" t="s">
        <v>1392</v>
      </c>
      <c r="AM35">
        <v>486110</v>
      </c>
      <c r="AN35" t="s">
        <v>1394</v>
      </c>
      <c r="AQ35" t="s">
        <v>168</v>
      </c>
      <c r="AR35" t="s">
        <v>2072</v>
      </c>
      <c r="AS35" t="s">
        <v>2073</v>
      </c>
      <c r="AT35" t="s">
        <v>76</v>
      </c>
      <c r="AU35" t="s">
        <v>2074</v>
      </c>
      <c r="AV35" t="s">
        <v>62</v>
      </c>
      <c r="AW35" t="s">
        <v>2072</v>
      </c>
      <c r="AX35" t="s">
        <v>2073</v>
      </c>
      <c r="AY35" t="s">
        <v>2074</v>
      </c>
      <c r="AZ35" t="s">
        <v>62</v>
      </c>
      <c r="BA35" t="s">
        <v>3540</v>
      </c>
      <c r="BC35" t="s">
        <v>3541</v>
      </c>
      <c r="BD35" t="s">
        <v>2074</v>
      </c>
      <c r="BE35" t="s">
        <v>62</v>
      </c>
      <c r="BF35">
        <v>3</v>
      </c>
      <c r="BG35">
        <v>207</v>
      </c>
      <c r="BH35" s="4" t="s">
        <v>2072</v>
      </c>
      <c r="BI35" s="4" t="s">
        <v>2073</v>
      </c>
      <c r="BK35" s="4" t="s">
        <v>3538</v>
      </c>
      <c r="BL35" s="4" t="s">
        <v>3535</v>
      </c>
      <c r="BM35" s="4" t="s">
        <v>3539</v>
      </c>
      <c r="BN35" s="4">
        <v>45840</v>
      </c>
      <c r="BO35" s="4" t="s">
        <v>62</v>
      </c>
      <c r="BP35" s="4">
        <v>4194212414</v>
      </c>
      <c r="BQ35" s="5">
        <v>9041000000</v>
      </c>
      <c r="BR35" s="4">
        <v>28</v>
      </c>
      <c r="BS35" s="6">
        <v>6200</v>
      </c>
      <c r="BT35" s="4">
        <v>2012</v>
      </c>
      <c r="BU35" s="4" t="s">
        <v>163</v>
      </c>
      <c r="BV35" s="4" t="s">
        <v>4285</v>
      </c>
      <c r="BW35" s="4" t="s">
        <v>98</v>
      </c>
      <c r="BX35" s="4" t="s">
        <v>1392</v>
      </c>
      <c r="BY35" s="4">
        <v>4612</v>
      </c>
      <c r="BZ35" s="4" t="s">
        <v>1393</v>
      </c>
      <c r="CA35" s="4">
        <v>4613</v>
      </c>
      <c r="CB35" s="4" t="s">
        <v>394</v>
      </c>
      <c r="CC35" s="4">
        <v>46120000</v>
      </c>
      <c r="CD35" s="4" t="s">
        <v>1392</v>
      </c>
      <c r="CE35" s="4">
        <v>46130000</v>
      </c>
      <c r="CF35" s="4" t="s">
        <v>395</v>
      </c>
      <c r="CG35" s="4">
        <v>486110</v>
      </c>
      <c r="CH35" s="4" t="s">
        <v>1394</v>
      </c>
      <c r="CI35" s="4">
        <v>486910</v>
      </c>
      <c r="CJ35" s="4" t="s">
        <v>396</v>
      </c>
      <c r="CK35" s="19">
        <f>IF(BQ35&gt;0,BQ35,W35)</f>
        <v>9041000000</v>
      </c>
      <c r="CL35" s="20">
        <f>IF(BS35&gt;0,BS35,Y35)</f>
        <v>6200</v>
      </c>
      <c r="CM35" s="34">
        <f>IF(CG35&gt;0,CG35,AM35)</f>
        <v>486110</v>
      </c>
      <c r="CN35" s="80">
        <f>IF($BH35="",1,COUNTIF($BH$3:$BH35,$BH35))</f>
        <v>2</v>
      </c>
      <c r="CP35" t="str">
        <f>IF($K35="Standard Match","Match",IF($K35="Name Only Match",IF($CO35="Yes","Match","Name Only Match"),"No Match"))</f>
        <v>Match</v>
      </c>
      <c r="CQ35" s="35" t="str">
        <f>IF(AND(CP35="Match",CK35&gt;0,CL35&gt;0),"Y","N")</f>
        <v>Y</v>
      </c>
      <c r="CS35" t="str">
        <f>IF($CQ35="Y",VLOOKUP($CM35,'SBA Size Standards'!$B$3:$G$57,MATCH('SBA Size Standards'!$G$3,'SBA Size Standards'!$B$3:$G$3,0),FALSE),"")</f>
        <v>Employment</v>
      </c>
      <c r="CT35" s="60" t="str">
        <f>IF(CQ35="Y",IF($CS35="Employment","N/A",VLOOKUP($CM35,'SBA Size Standards'!$B$3:$G$57,MATCH('SBA Size Standards'!$E$3,'SBA Size Standards'!$B$3:$G$3,0),FALSE)),"")</f>
        <v>N/A</v>
      </c>
      <c r="CU35" s="86">
        <f>IF($CQ35="Y",IF($CS35="Revenue","N/A",VLOOKUP($CM35,'SBA Size Standards'!$B$3:$G$57,MATCH('SBA Size Standards'!$F$3,'SBA Size Standards'!$B$3:$G$3,0),FALSE)),"")</f>
        <v>1500</v>
      </c>
      <c r="CV35" t="str">
        <f>IF($CQ35="Y",IF(OR(AND($CS35="Employment",$CL35&lt;$CU35),AND($CS35="Revenue",$CK35&lt;$CT35)),"YES","NO"),"")</f>
        <v>NO</v>
      </c>
      <c r="CW35" s="90" t="str">
        <f>IF($CQ35="Y",INDEX('SBA Size Standards'!$N$3:$N$12,MATCH($CK35,'SBA Size Standards'!$O$3:$O$12,1)),"")</f>
        <v>$1,000,000,001 -$125,000,000,000</v>
      </c>
      <c r="CX35" s="122" t="s">
        <v>4923</v>
      </c>
      <c r="CY35" s="122">
        <f>INDEX('NM O&amp;G Production'!$P$3:$P$537,MATCH(CX35,'NM O&amp;G Production'!$Q$3:$Q$537,0))</f>
        <v>521</v>
      </c>
      <c r="CZ35" s="122" t="str">
        <f>INDEX('NM O&amp;G Production'!$O$3:$O$537,MATCH(CY35,'NM O&amp;G Production'!$P$3:$P$537,0))</f>
        <v>No</v>
      </c>
      <c r="DA35" s="127">
        <f>INDEX('NM O&amp;G Production'!$K$3:$O$537,MATCH($CY35,'NM O&amp;G Production'!$P$3:$P$537,0),MATCH(DA$2,'NM O&amp;G Production'!$K$2:$O$2,0))</f>
        <v>0</v>
      </c>
      <c r="DB35" s="127">
        <f>INDEX('NM O&amp;G Production'!$K$3:$O$537,MATCH($CY35,'NM O&amp;G Production'!$P$3:$P$537,0),MATCH(DB$2,'NM O&amp;G Production'!$K$2:$O$2,0))</f>
        <v>0</v>
      </c>
      <c r="DC35" s="127"/>
      <c r="DD35" s="127">
        <f>INDEX('NM O&amp;G Production'!$K$3:$O$537,MATCH($CY35,'NM O&amp;G Production'!$P$3:$P$537,0),MATCH(DD$2,'NM O&amp;G Production'!$K$2:$O$2,0))</f>
        <v>0</v>
      </c>
      <c r="DE35" s="127">
        <f>INDEX('NM O&amp;G Production'!$K$3:$O$537,MATCH($CY35,'NM O&amp;G Production'!$P$3:$P$537,0),MATCH(DE$2,'NM O&amp;G Production'!$K$2:$O$2,0))</f>
        <v>0</v>
      </c>
      <c r="DF35" s="258" t="e">
        <f>CK35/(DB35+DA35)</f>
        <v>#DIV/0!</v>
      </c>
      <c r="DG35" s="57">
        <f>DD35*(12/18)*1.06*'Oil and Gas Prices'!$C$18</f>
        <v>0</v>
      </c>
      <c r="DH35" s="284">
        <f>DE35*(12/18)*'Oil and Gas Prices'!$C$4</f>
        <v>0</v>
      </c>
      <c r="DI35" s="284"/>
      <c r="DJ35" s="57" t="e">
        <f>(DG35+DH35)/(DA35+DB35)</f>
        <v>#DIV/0!</v>
      </c>
      <c r="DK35" s="18" t="e">
        <f>CK35/DI35</f>
        <v>#DIV/0!</v>
      </c>
    </row>
    <row r="36" spans="1:115" x14ac:dyDescent="0.25">
      <c r="A36" s="21" t="s">
        <v>3531</v>
      </c>
      <c r="B36" s="21" t="s">
        <v>3532</v>
      </c>
      <c r="C36" s="21"/>
      <c r="D36" s="21" t="s">
        <v>2266</v>
      </c>
      <c r="E36" s="21" t="s">
        <v>84</v>
      </c>
      <c r="F36">
        <v>88220</v>
      </c>
      <c r="G36" t="s">
        <v>62</v>
      </c>
      <c r="I36">
        <v>520</v>
      </c>
      <c r="J36" t="s">
        <v>63</v>
      </c>
      <c r="K36" t="s">
        <v>4134</v>
      </c>
      <c r="L36" t="s">
        <v>3627</v>
      </c>
      <c r="M36">
        <v>8</v>
      </c>
      <c r="N36" t="s">
        <v>4032</v>
      </c>
      <c r="O36" s="21" t="s">
        <v>4033</v>
      </c>
      <c r="P36" s="21"/>
      <c r="Q36" s="21" t="s">
        <v>4034</v>
      </c>
      <c r="R36" s="21" t="s">
        <v>532</v>
      </c>
      <c r="S36" s="21" t="s">
        <v>94</v>
      </c>
      <c r="T36" t="s">
        <v>4035</v>
      </c>
      <c r="U36" t="s">
        <v>62</v>
      </c>
      <c r="V36">
        <v>2106266000</v>
      </c>
      <c r="W36" s="23">
        <v>39094643</v>
      </c>
      <c r="X36" s="21">
        <v>15</v>
      </c>
      <c r="Y36" s="21">
        <v>15</v>
      </c>
      <c r="Z36">
        <v>2019</v>
      </c>
      <c r="AA36" s="21" t="s">
        <v>70</v>
      </c>
      <c r="AD36" s="21" t="s">
        <v>99</v>
      </c>
      <c r="AE36">
        <v>1311</v>
      </c>
      <c r="AF36" t="s">
        <v>100</v>
      </c>
      <c r="AI36">
        <v>13110101</v>
      </c>
      <c r="AJ36" t="s">
        <v>102</v>
      </c>
      <c r="AM36" s="21">
        <v>211120</v>
      </c>
      <c r="AN36" s="21" t="s">
        <v>104</v>
      </c>
      <c r="AO36" s="21"/>
      <c r="AP36" s="21"/>
      <c r="AQ36" s="21" t="s">
        <v>168</v>
      </c>
      <c r="AR36" t="s">
        <v>2072</v>
      </c>
      <c r="AS36" t="s">
        <v>2073</v>
      </c>
      <c r="AT36" t="s">
        <v>76</v>
      </c>
      <c r="AU36" t="s">
        <v>2074</v>
      </c>
      <c r="AV36" t="s">
        <v>62</v>
      </c>
      <c r="AW36" t="s">
        <v>2072</v>
      </c>
      <c r="AX36" t="s">
        <v>2073</v>
      </c>
      <c r="AY36" t="s">
        <v>2074</v>
      </c>
      <c r="AZ36" t="s">
        <v>62</v>
      </c>
      <c r="BA36" t="s">
        <v>3540</v>
      </c>
      <c r="BC36" t="s">
        <v>3541</v>
      </c>
      <c r="BD36" t="s">
        <v>2074</v>
      </c>
      <c r="BE36" t="s">
        <v>62</v>
      </c>
      <c r="BF36">
        <v>3</v>
      </c>
      <c r="BG36" s="24">
        <v>207</v>
      </c>
      <c r="BH36" s="24" t="s">
        <v>2072</v>
      </c>
      <c r="BI36" s="24" t="s">
        <v>2073</v>
      </c>
      <c r="BJ36" s="24"/>
      <c r="BK36" s="24" t="s">
        <v>3538</v>
      </c>
      <c r="BL36" s="24" t="s">
        <v>3535</v>
      </c>
      <c r="BM36" s="24" t="s">
        <v>3539</v>
      </c>
      <c r="BN36" s="24">
        <v>45840</v>
      </c>
      <c r="BO36" s="24" t="s">
        <v>62</v>
      </c>
      <c r="BP36" s="4">
        <v>4194212414</v>
      </c>
      <c r="BQ36" s="25">
        <v>9041000000</v>
      </c>
      <c r="BR36" s="24">
        <v>28</v>
      </c>
      <c r="BS36" s="26">
        <v>6200</v>
      </c>
      <c r="BT36" s="4">
        <v>2012</v>
      </c>
      <c r="BU36" s="24" t="s">
        <v>163</v>
      </c>
      <c r="BV36" s="4" t="s">
        <v>4285</v>
      </c>
      <c r="BW36" s="4" t="s">
        <v>98</v>
      </c>
      <c r="BX36" s="24" t="s">
        <v>1392</v>
      </c>
      <c r="BY36" s="4">
        <v>4612</v>
      </c>
      <c r="BZ36" s="4" t="s">
        <v>1393</v>
      </c>
      <c r="CA36" s="4">
        <v>4613</v>
      </c>
      <c r="CB36" s="4" t="s">
        <v>394</v>
      </c>
      <c r="CC36" s="4">
        <v>46120000</v>
      </c>
      <c r="CD36" s="4" t="s">
        <v>1392</v>
      </c>
      <c r="CE36" s="4">
        <v>46130000</v>
      </c>
      <c r="CF36" s="4" t="s">
        <v>395</v>
      </c>
      <c r="CG36" s="24">
        <v>486110</v>
      </c>
      <c r="CH36" s="24" t="s">
        <v>1394</v>
      </c>
      <c r="CI36" s="24">
        <v>486910</v>
      </c>
      <c r="CJ36" s="24" t="s">
        <v>396</v>
      </c>
      <c r="CK36" s="19">
        <f>IF(BQ36&gt;0,BQ36,W36)</f>
        <v>9041000000</v>
      </c>
      <c r="CL36" s="20">
        <f>IF(BS36&gt;0,BS36,Y36)</f>
        <v>6200</v>
      </c>
      <c r="CM36" s="34">
        <f>IF(CG36&gt;0,CG36,AM36)</f>
        <v>486110</v>
      </c>
      <c r="CN36" s="80">
        <f>IF($BH36="",1,COUNTIF($BH$3:$BH36,$BH36))</f>
        <v>3</v>
      </c>
      <c r="CO36" s="33" t="s">
        <v>4386</v>
      </c>
      <c r="CP36" t="str">
        <f>IF($K36="Standard Match","Match",IF($K36="Name Only Match",IF($CO36="Yes","Match","Name Only Match"),"No Match"))</f>
        <v>Match</v>
      </c>
      <c r="CQ36" s="35" t="str">
        <f>IF(AND(CP36="Match",CK36&gt;0,CL36&gt;0),"Y","N")</f>
        <v>Y</v>
      </c>
      <c r="CR36" s="21"/>
      <c r="CS36" t="str">
        <f>IF($CQ36="Y",VLOOKUP($CM36,'SBA Size Standards'!$B$3:$G$57,MATCH('SBA Size Standards'!$G$3,'SBA Size Standards'!$B$3:$G$3,0),FALSE),"")</f>
        <v>Employment</v>
      </c>
      <c r="CT36" s="60" t="str">
        <f>IF(CQ36="Y",IF($CS36="Employment","N/A",VLOOKUP($CM36,'SBA Size Standards'!$B$3:$G$57,MATCH('SBA Size Standards'!$E$3,'SBA Size Standards'!$B$3:$G$3,0),FALSE)),"")</f>
        <v>N/A</v>
      </c>
      <c r="CU36" s="86">
        <f>IF($CQ36="Y",IF($CS36="Revenue","N/A",VLOOKUP($CM36,'SBA Size Standards'!$B$3:$G$57,MATCH('SBA Size Standards'!$F$3,'SBA Size Standards'!$B$3:$G$3,0),FALSE)),"")</f>
        <v>1500</v>
      </c>
      <c r="CV36" t="str">
        <f>IF($CQ36="Y",IF(OR(AND($CS36="Employment",$CL36&lt;$CU36),AND($CS36="Revenue",$CK36&lt;$CT36)),"YES","NO"),"")</f>
        <v>NO</v>
      </c>
      <c r="CW36" s="90" t="str">
        <f>IF($CQ36="Y",INDEX('SBA Size Standards'!$N$3:$N$12,MATCH($CK36,'SBA Size Standards'!$O$3:$O$12,1)),"")</f>
        <v>$1,000,000,001 -$125,000,000,000</v>
      </c>
      <c r="CX36" s="122" t="s">
        <v>5003</v>
      </c>
      <c r="CY36" s="122">
        <f>INDEX('NM O&amp;G Production'!$P$3:$P$537,MATCH(CX36,'NM O&amp;G Production'!$Q$3:$Q$537,0))</f>
        <v>520</v>
      </c>
      <c r="CZ36" s="122" t="str">
        <f>INDEX('NM O&amp;G Production'!$O$3:$O$537,MATCH(CY36,'NM O&amp;G Production'!$P$3:$P$537,0))</f>
        <v>No</v>
      </c>
      <c r="DA36" s="127">
        <f>INDEX('NM O&amp;G Production'!$K$3:$O$537,MATCH($CY36,'NM O&amp;G Production'!$P$3:$P$537,0),MATCH(DA$2,'NM O&amp;G Production'!$K$2:$O$2,0))</f>
        <v>0</v>
      </c>
      <c r="DB36" s="127">
        <f>INDEX('NM O&amp;G Production'!$K$3:$O$537,MATCH($CY36,'NM O&amp;G Production'!$P$3:$P$537,0),MATCH(DB$2,'NM O&amp;G Production'!$K$2:$O$2,0))</f>
        <v>0</v>
      </c>
      <c r="DC36" s="127"/>
      <c r="DD36" s="127">
        <f>INDEX('NM O&amp;G Production'!$K$3:$O$537,MATCH($CY36,'NM O&amp;G Production'!$P$3:$P$537,0),MATCH(DD$2,'NM O&amp;G Production'!$K$2:$O$2,0))</f>
        <v>0</v>
      </c>
      <c r="DE36" s="127">
        <f>INDEX('NM O&amp;G Production'!$K$3:$O$537,MATCH($CY36,'NM O&amp;G Production'!$P$3:$P$537,0),MATCH(DE$2,'NM O&amp;G Production'!$K$2:$O$2,0))</f>
        <v>0</v>
      </c>
      <c r="DF36" s="258" t="e">
        <f>CK36/(DB36+DA36)</f>
        <v>#DIV/0!</v>
      </c>
      <c r="DG36" s="57">
        <f>DD36*(12/18)*1.06*'Oil and Gas Prices'!$C$18</f>
        <v>0</v>
      </c>
      <c r="DH36" s="284">
        <f>DE36*(12/18)*'Oil and Gas Prices'!$C$4</f>
        <v>0</v>
      </c>
      <c r="DI36" s="284"/>
      <c r="DJ36" s="57" t="e">
        <f>(DG36+DH36)/(DA36+DB36)</f>
        <v>#DIV/0!</v>
      </c>
      <c r="DK36" s="18" t="e">
        <f>CK36/DI36</f>
        <v>#DIV/0!</v>
      </c>
    </row>
    <row r="37" spans="1:115" x14ac:dyDescent="0.25">
      <c r="A37" t="s">
        <v>609</v>
      </c>
      <c r="B37" t="s">
        <v>610</v>
      </c>
      <c r="D37" t="s">
        <v>611</v>
      </c>
      <c r="E37" t="s">
        <v>612</v>
      </c>
      <c r="F37">
        <v>73118</v>
      </c>
      <c r="G37" t="s">
        <v>62</v>
      </c>
      <c r="I37">
        <v>75</v>
      </c>
      <c r="J37" t="s">
        <v>63</v>
      </c>
      <c r="K37" t="s">
        <v>4133</v>
      </c>
      <c r="L37" t="s">
        <v>279</v>
      </c>
      <c r="M37">
        <v>8</v>
      </c>
      <c r="N37" t="s">
        <v>613</v>
      </c>
      <c r="O37" t="s">
        <v>614</v>
      </c>
      <c r="Q37" t="s">
        <v>615</v>
      </c>
      <c r="R37" t="s">
        <v>585</v>
      </c>
      <c r="S37" t="s">
        <v>188</v>
      </c>
      <c r="T37" t="s">
        <v>616</v>
      </c>
      <c r="U37" t="s">
        <v>62</v>
      </c>
      <c r="V37">
        <v>4058488000</v>
      </c>
      <c r="W37" s="1">
        <v>4226836055</v>
      </c>
      <c r="X37" s="2">
        <v>1458</v>
      </c>
      <c r="Y37" s="2">
        <v>1922</v>
      </c>
      <c r="Z37">
        <v>1989</v>
      </c>
      <c r="AA37" t="s">
        <v>163</v>
      </c>
      <c r="AB37" t="s">
        <v>617</v>
      </c>
      <c r="AC37" t="s">
        <v>145</v>
      </c>
      <c r="AD37" t="s">
        <v>99</v>
      </c>
      <c r="AE37">
        <v>1311</v>
      </c>
      <c r="AF37" t="s">
        <v>100</v>
      </c>
      <c r="AG37">
        <v>1389</v>
      </c>
      <c r="AH37" t="s">
        <v>72</v>
      </c>
      <c r="AI37">
        <v>13110101</v>
      </c>
      <c r="AJ37" t="s">
        <v>102</v>
      </c>
      <c r="AK37">
        <v>13890101</v>
      </c>
      <c r="AL37" t="s">
        <v>618</v>
      </c>
      <c r="AM37">
        <v>211120</v>
      </c>
      <c r="AN37" t="s">
        <v>104</v>
      </c>
      <c r="AO37">
        <v>237120</v>
      </c>
      <c r="AP37" t="s">
        <v>413</v>
      </c>
      <c r="AQ37" t="s">
        <v>168</v>
      </c>
      <c r="AR37" t="s">
        <v>619</v>
      </c>
      <c r="AS37" t="s">
        <v>620</v>
      </c>
      <c r="AT37" t="s">
        <v>76</v>
      </c>
      <c r="AU37" t="s">
        <v>184</v>
      </c>
      <c r="AV37" t="s">
        <v>62</v>
      </c>
      <c r="AW37" t="s">
        <v>619</v>
      </c>
      <c r="AX37" t="s">
        <v>620</v>
      </c>
      <c r="AY37" t="s">
        <v>184</v>
      </c>
      <c r="AZ37" t="s">
        <v>62</v>
      </c>
      <c r="BA37" t="s">
        <v>619</v>
      </c>
      <c r="BC37" t="s">
        <v>620</v>
      </c>
      <c r="BD37" t="s">
        <v>184</v>
      </c>
      <c r="BE37" t="s">
        <v>62</v>
      </c>
      <c r="BF37">
        <v>2</v>
      </c>
      <c r="BG37">
        <v>112</v>
      </c>
      <c r="BH37" s="4" t="s">
        <v>619</v>
      </c>
      <c r="BI37" s="4" t="s">
        <v>620</v>
      </c>
      <c r="BJ37" s="4" t="s">
        <v>4261</v>
      </c>
      <c r="BK37" s="4" t="s">
        <v>615</v>
      </c>
      <c r="BL37" s="4" t="s">
        <v>585</v>
      </c>
      <c r="BM37" s="4" t="s">
        <v>188</v>
      </c>
      <c r="BN37" s="4" t="s">
        <v>616</v>
      </c>
      <c r="BO37" s="4" t="s">
        <v>62</v>
      </c>
      <c r="BP37" s="4">
        <v>4058488000</v>
      </c>
      <c r="BQ37" s="5">
        <v>8595000000</v>
      </c>
      <c r="BR37" s="4">
        <v>848</v>
      </c>
      <c r="BS37" s="6">
        <v>2300</v>
      </c>
      <c r="BT37" s="4">
        <v>1989</v>
      </c>
      <c r="BU37" s="4" t="s">
        <v>163</v>
      </c>
      <c r="BV37" s="4" t="s">
        <v>617</v>
      </c>
      <c r="BW37" s="4" t="s">
        <v>98</v>
      </c>
      <c r="BX37" s="4" t="s">
        <v>99</v>
      </c>
      <c r="BY37" s="4">
        <v>1311</v>
      </c>
      <c r="BZ37" s="4" t="s">
        <v>100</v>
      </c>
      <c r="CC37" s="4">
        <v>13110101</v>
      </c>
      <c r="CD37" s="4" t="s">
        <v>102</v>
      </c>
      <c r="CG37" s="4">
        <v>211120</v>
      </c>
      <c r="CH37" s="4" t="s">
        <v>104</v>
      </c>
      <c r="CK37" s="19">
        <f>IF(BQ37&gt;0,BQ37,W37)</f>
        <v>8595000000</v>
      </c>
      <c r="CL37" s="20">
        <f>IF(BS37&gt;0,BS37,Y37)</f>
        <v>2300</v>
      </c>
      <c r="CM37" s="34">
        <f>IF(CG37&gt;0,CG37,AM37)</f>
        <v>211120</v>
      </c>
      <c r="CN37" s="80">
        <f>IF($BH37="",1,COUNTIF($BH$3:$BH37,$BH37))</f>
        <v>1</v>
      </c>
      <c r="CP37" t="str">
        <f>IF($K37="Standard Match","Match",IF($K37="Name Only Match",IF($CO37="Yes","Match","Name Only Match"),"No Match"))</f>
        <v>Match</v>
      </c>
      <c r="CQ37" s="35" t="str">
        <f>IF(AND(CP37="Match",CK37&gt;0,CL37&gt;0),"Y","N")</f>
        <v>Y</v>
      </c>
      <c r="CS37" t="str">
        <f>IF($CQ37="Y",VLOOKUP($CM37,'SBA Size Standards'!$B$3:$G$57,MATCH('SBA Size Standards'!$G$3,'SBA Size Standards'!$B$3:$G$3,0),FALSE),"")</f>
        <v>Employment</v>
      </c>
      <c r="CT37" s="60" t="str">
        <f>IF(CQ37="Y",IF($CS37="Employment","N/A",VLOOKUP($CM37,'SBA Size Standards'!$B$3:$G$57,MATCH('SBA Size Standards'!$E$3,'SBA Size Standards'!$B$3:$G$3,0),FALSE)),"")</f>
        <v>N/A</v>
      </c>
      <c r="CU37" s="86">
        <f>IF($CQ37="Y",IF($CS37="Revenue","N/A",VLOOKUP($CM37,'SBA Size Standards'!$B$3:$G$57,MATCH('SBA Size Standards'!$F$3,'SBA Size Standards'!$B$3:$G$3,0),FALSE)),"")</f>
        <v>1250</v>
      </c>
      <c r="CV37" t="str">
        <f>IF($CQ37="Y",IF(OR(AND($CS37="Employment",$CL37&lt;$CU37),AND($CS37="Revenue",$CK37&lt;$CT37)),"YES","NO"),"")</f>
        <v>NO</v>
      </c>
      <c r="CW37" s="90" t="str">
        <f>IF($CQ37="Y",INDEX('SBA Size Standards'!$N$3:$N$12,MATCH($CK37,'SBA Size Standards'!$O$3:$O$12,1)),"")</f>
        <v>$1,000,000,001 -$125,000,000,000</v>
      </c>
      <c r="CX37" s="122" t="s">
        <v>4816</v>
      </c>
      <c r="CY37" s="122">
        <f>INDEX('NM O&amp;G Production'!$P$3:$P$537,MATCH(CX37,'NM O&amp;G Production'!$Q$3:$Q$537,0))</f>
        <v>75</v>
      </c>
      <c r="CZ37" s="122" t="str">
        <f>INDEX('NM O&amp;G Production'!$O$3:$O$537,MATCH(CY37,'NM O&amp;G Production'!$P$3:$P$537,0))</f>
        <v>No</v>
      </c>
      <c r="DA37" s="127">
        <f>INDEX('NM O&amp;G Production'!$K$3:$O$537,MATCH($CY37,'NM O&amp;G Production'!$P$3:$P$537,0),MATCH(DA$2,'NM O&amp;G Production'!$K$2:$O$2,0))</f>
        <v>0</v>
      </c>
      <c r="DB37" s="127">
        <f>INDEX('NM O&amp;G Production'!$K$3:$O$537,MATCH($CY37,'NM O&amp;G Production'!$P$3:$P$537,0),MATCH(DB$2,'NM O&amp;G Production'!$K$2:$O$2,0))</f>
        <v>0</v>
      </c>
      <c r="DC37" s="127"/>
      <c r="DD37" s="127">
        <f>INDEX('NM O&amp;G Production'!$K$3:$O$537,MATCH($CY37,'NM O&amp;G Production'!$P$3:$P$537,0),MATCH(DD$2,'NM O&amp;G Production'!$K$2:$O$2,0))</f>
        <v>0</v>
      </c>
      <c r="DE37" s="127">
        <f>INDEX('NM O&amp;G Production'!$K$3:$O$537,MATCH($CY37,'NM O&amp;G Production'!$P$3:$P$537,0),MATCH(DE$2,'NM O&amp;G Production'!$K$2:$O$2,0))</f>
        <v>0</v>
      </c>
      <c r="DF37" s="258" t="e">
        <f>CK37/(DB37+DA37)</f>
        <v>#DIV/0!</v>
      </c>
      <c r="DG37" s="57">
        <f>DD37*(12/18)*1.06*'Oil and Gas Prices'!$C$18</f>
        <v>0</v>
      </c>
      <c r="DH37" s="284">
        <f>DE37*(12/18)*'Oil and Gas Prices'!$C$4</f>
        <v>0</v>
      </c>
      <c r="DI37" s="284"/>
      <c r="DJ37" s="57" t="e">
        <f>(DG37+DH37)/(DA37+DB37)</f>
        <v>#DIV/0!</v>
      </c>
      <c r="DK37" s="18" t="e">
        <f>CK37/DI37</f>
        <v>#DIV/0!</v>
      </c>
    </row>
    <row r="38" spans="1:115" x14ac:dyDescent="0.25">
      <c r="A38" t="s">
        <v>2188</v>
      </c>
      <c r="B38" t="s">
        <v>2189</v>
      </c>
      <c r="D38" t="s">
        <v>2190</v>
      </c>
      <c r="E38" t="s">
        <v>80</v>
      </c>
      <c r="F38">
        <v>76058</v>
      </c>
      <c r="G38" t="s">
        <v>62</v>
      </c>
      <c r="I38">
        <v>309</v>
      </c>
      <c r="J38" t="s">
        <v>63</v>
      </c>
      <c r="K38" t="s">
        <v>4134</v>
      </c>
      <c r="L38" t="s">
        <v>3627</v>
      </c>
      <c r="M38">
        <v>8</v>
      </c>
      <c r="N38" t="s">
        <v>3917</v>
      </c>
      <c r="O38" t="s">
        <v>3918</v>
      </c>
      <c r="Q38" t="s">
        <v>615</v>
      </c>
      <c r="R38" t="s">
        <v>585</v>
      </c>
      <c r="S38" t="s">
        <v>188</v>
      </c>
      <c r="T38" t="s">
        <v>616</v>
      </c>
      <c r="U38" t="s">
        <v>62</v>
      </c>
      <c r="V38">
        <v>4059354159</v>
      </c>
      <c r="W38" s="1">
        <v>21805519</v>
      </c>
      <c r="X38">
        <v>50</v>
      </c>
      <c r="Y38">
        <v>59</v>
      </c>
      <c r="Z38">
        <v>2007</v>
      </c>
      <c r="AA38" t="s">
        <v>163</v>
      </c>
      <c r="AB38" t="s">
        <v>617</v>
      </c>
      <c r="AC38" t="s">
        <v>145</v>
      </c>
      <c r="AD38" t="s">
        <v>2449</v>
      </c>
      <c r="AE38">
        <v>7699</v>
      </c>
      <c r="AF38" t="s">
        <v>760</v>
      </c>
      <c r="AG38">
        <v>7353</v>
      </c>
      <c r="AH38" t="s">
        <v>1247</v>
      </c>
      <c r="AI38">
        <v>76990501</v>
      </c>
      <c r="AJ38" t="s">
        <v>2450</v>
      </c>
      <c r="AK38">
        <v>73530100</v>
      </c>
      <c r="AL38" t="s">
        <v>1249</v>
      </c>
      <c r="AM38">
        <v>811310</v>
      </c>
      <c r="AN38" t="s">
        <v>764</v>
      </c>
      <c r="AO38">
        <v>532412</v>
      </c>
      <c r="AP38" t="s">
        <v>1251</v>
      </c>
      <c r="AQ38" t="s">
        <v>168</v>
      </c>
      <c r="AR38" t="s">
        <v>619</v>
      </c>
      <c r="AS38" t="s">
        <v>620</v>
      </c>
      <c r="AT38" t="s">
        <v>76</v>
      </c>
      <c r="AU38" t="s">
        <v>184</v>
      </c>
      <c r="AV38" t="s">
        <v>62</v>
      </c>
      <c r="AW38" t="s">
        <v>619</v>
      </c>
      <c r="AX38" t="s">
        <v>620</v>
      </c>
      <c r="AY38" t="s">
        <v>184</v>
      </c>
      <c r="AZ38" t="s">
        <v>62</v>
      </c>
      <c r="BA38" t="s">
        <v>3919</v>
      </c>
      <c r="BC38" t="s">
        <v>3920</v>
      </c>
      <c r="BD38" t="s">
        <v>184</v>
      </c>
      <c r="BE38" t="s">
        <v>62</v>
      </c>
      <c r="BF38">
        <v>3</v>
      </c>
      <c r="BG38">
        <v>112</v>
      </c>
      <c r="BH38" s="4" t="s">
        <v>619</v>
      </c>
      <c r="BI38" s="4" t="s">
        <v>620</v>
      </c>
      <c r="BJ38" s="4" t="s">
        <v>4261</v>
      </c>
      <c r="BK38" s="4" t="s">
        <v>615</v>
      </c>
      <c r="BL38" s="4" t="s">
        <v>585</v>
      </c>
      <c r="BM38" s="4" t="s">
        <v>188</v>
      </c>
      <c r="BN38" s="4" t="s">
        <v>616</v>
      </c>
      <c r="BO38" s="4" t="s">
        <v>62</v>
      </c>
      <c r="BP38" s="4">
        <v>4058488000</v>
      </c>
      <c r="BQ38" s="5">
        <v>8595000000</v>
      </c>
      <c r="BR38" s="4">
        <v>848</v>
      </c>
      <c r="BS38" s="6">
        <v>2300</v>
      </c>
      <c r="BT38" s="4">
        <v>1989</v>
      </c>
      <c r="BU38" s="4" t="s">
        <v>163</v>
      </c>
      <c r="BV38" s="4" t="s">
        <v>617</v>
      </c>
      <c r="BW38" s="4" t="s">
        <v>98</v>
      </c>
      <c r="BX38" s="4" t="s">
        <v>99</v>
      </c>
      <c r="BY38" s="4">
        <v>1311</v>
      </c>
      <c r="BZ38" s="4" t="s">
        <v>100</v>
      </c>
      <c r="CC38" s="4">
        <v>13110101</v>
      </c>
      <c r="CD38" s="4" t="s">
        <v>102</v>
      </c>
      <c r="CG38" s="4">
        <v>211120</v>
      </c>
      <c r="CH38" s="4" t="s">
        <v>104</v>
      </c>
      <c r="CK38" s="19">
        <f>IF(BQ38&gt;0,BQ38,W38)</f>
        <v>8595000000</v>
      </c>
      <c r="CL38" s="20">
        <f>IF(BS38&gt;0,BS38,Y38)</f>
        <v>2300</v>
      </c>
      <c r="CM38" s="34">
        <f>IF(CG38&gt;0,CG38,AM38)</f>
        <v>211120</v>
      </c>
      <c r="CN38" s="80">
        <f>IF($BH38="",1,COUNTIF($BH$3:$BH38,$BH38))</f>
        <v>2</v>
      </c>
      <c r="CO38" s="33" t="s">
        <v>4386</v>
      </c>
      <c r="CP38" t="str">
        <f>IF($K38="Standard Match","Match",IF($K38="Name Only Match",IF($CO38="Yes","Match","Name Only Match"),"No Match"))</f>
        <v>Match</v>
      </c>
      <c r="CQ38" s="35" t="str">
        <f>IF(AND(CP38="Match",CK38&gt;0,CL38&gt;0),"Y","N")</f>
        <v>Y</v>
      </c>
      <c r="CS38" t="str">
        <f>IF($CQ38="Y",VLOOKUP($CM38,'SBA Size Standards'!$B$3:$G$57,MATCH('SBA Size Standards'!$G$3,'SBA Size Standards'!$B$3:$G$3,0),FALSE),"")</f>
        <v>Employment</v>
      </c>
      <c r="CT38" s="60" t="str">
        <f>IF(CQ38="Y",IF($CS38="Employment","N/A",VLOOKUP($CM38,'SBA Size Standards'!$B$3:$G$57,MATCH('SBA Size Standards'!$E$3,'SBA Size Standards'!$B$3:$G$3,0),FALSE)),"")</f>
        <v>N/A</v>
      </c>
      <c r="CU38" s="86">
        <f>IF($CQ38="Y",IF($CS38="Revenue","N/A",VLOOKUP($CM38,'SBA Size Standards'!$B$3:$G$57,MATCH('SBA Size Standards'!$F$3,'SBA Size Standards'!$B$3:$G$3,0),FALSE)),"")</f>
        <v>1250</v>
      </c>
      <c r="CV38" t="str">
        <f>IF($CQ38="Y",IF(OR(AND($CS38="Employment",$CL38&lt;$CU38),AND($CS38="Revenue",$CK38&lt;$CT38)),"YES","NO"),"")</f>
        <v>NO</v>
      </c>
      <c r="CW38" s="90" t="str">
        <f>IF($CQ38="Y",INDEX('SBA Size Standards'!$N$3:$N$12,MATCH($CK38,'SBA Size Standards'!$O$3:$O$12,1)),"")</f>
        <v>$1,000,000,001 -$125,000,000,000</v>
      </c>
      <c r="CX38" s="122" t="s">
        <v>4978</v>
      </c>
      <c r="CY38" s="122">
        <f>INDEX('NM O&amp;G Production'!$P$3:$P$537,MATCH(CX38,'NM O&amp;G Production'!$Q$3:$Q$537,0))</f>
        <v>309</v>
      </c>
      <c r="CZ38" s="122" t="str">
        <f>INDEX('NM O&amp;G Production'!$O$3:$O$537,MATCH(CY38,'NM O&amp;G Production'!$P$3:$P$537,0))</f>
        <v>No</v>
      </c>
      <c r="DA38" s="127">
        <f>INDEX('NM O&amp;G Production'!$K$3:$O$537,MATCH($CY38,'NM O&amp;G Production'!$P$3:$P$537,0),MATCH(DA$2,'NM O&amp;G Production'!$K$2:$O$2,0))</f>
        <v>0</v>
      </c>
      <c r="DB38" s="127">
        <f>INDEX('NM O&amp;G Production'!$K$3:$O$537,MATCH($CY38,'NM O&amp;G Production'!$P$3:$P$537,0),MATCH(DB$2,'NM O&amp;G Production'!$K$2:$O$2,0))</f>
        <v>0</v>
      </c>
      <c r="DC38" s="127"/>
      <c r="DD38" s="127">
        <f>INDEX('NM O&amp;G Production'!$K$3:$O$537,MATCH($CY38,'NM O&amp;G Production'!$P$3:$P$537,0),MATCH(DD$2,'NM O&amp;G Production'!$K$2:$O$2,0))</f>
        <v>0</v>
      </c>
      <c r="DE38" s="127">
        <f>INDEX('NM O&amp;G Production'!$K$3:$O$537,MATCH($CY38,'NM O&amp;G Production'!$P$3:$P$537,0),MATCH(DE$2,'NM O&amp;G Production'!$K$2:$O$2,0))</f>
        <v>0</v>
      </c>
      <c r="DF38" s="258" t="e">
        <f>CK38/(DB38+DA38)</f>
        <v>#DIV/0!</v>
      </c>
      <c r="DG38" s="57">
        <f>DD38*(12/18)*1.06*'Oil and Gas Prices'!$C$18</f>
        <v>0</v>
      </c>
      <c r="DH38" s="284">
        <f>DE38*(12/18)*'Oil and Gas Prices'!$C$4</f>
        <v>0</v>
      </c>
      <c r="DI38" s="284"/>
      <c r="DJ38" s="57" t="e">
        <f>(DG38+DH38)/(DA38+DB38)</f>
        <v>#DIV/0!</v>
      </c>
      <c r="DK38" s="18" t="e">
        <f>CK38/DI38</f>
        <v>#DIV/0!</v>
      </c>
    </row>
    <row r="39" spans="1:115" x14ac:dyDescent="0.25">
      <c r="A39" t="s">
        <v>3355</v>
      </c>
      <c r="B39" t="s">
        <v>3356</v>
      </c>
      <c r="D39" t="s">
        <v>161</v>
      </c>
      <c r="E39" t="s">
        <v>80</v>
      </c>
      <c r="F39">
        <v>77380</v>
      </c>
      <c r="G39" t="s">
        <v>62</v>
      </c>
      <c r="I39">
        <v>497</v>
      </c>
      <c r="J39" t="s">
        <v>63</v>
      </c>
      <c r="K39" t="s">
        <v>4133</v>
      </c>
      <c r="L39" t="s">
        <v>64</v>
      </c>
      <c r="M39">
        <v>10</v>
      </c>
      <c r="N39" t="s">
        <v>3357</v>
      </c>
      <c r="O39" t="s">
        <v>3358</v>
      </c>
      <c r="Q39" t="s">
        <v>3359</v>
      </c>
      <c r="R39" t="s">
        <v>2834</v>
      </c>
      <c r="S39" t="s">
        <v>94</v>
      </c>
      <c r="T39" t="s">
        <v>3360</v>
      </c>
      <c r="U39" t="s">
        <v>62</v>
      </c>
      <c r="V39">
        <v>2812970678</v>
      </c>
      <c r="X39">
        <v>29</v>
      </c>
      <c r="Y39">
        <v>0</v>
      </c>
      <c r="AA39" t="s">
        <v>96</v>
      </c>
      <c r="AB39" t="s">
        <v>3361</v>
      </c>
      <c r="AC39" t="s">
        <v>133</v>
      </c>
      <c r="AD39" t="s">
        <v>3362</v>
      </c>
      <c r="AE39">
        <v>5191</v>
      </c>
      <c r="AF39" t="s">
        <v>3363</v>
      </c>
      <c r="AG39">
        <v>5169</v>
      </c>
      <c r="AH39" t="s">
        <v>2300</v>
      </c>
      <c r="AI39">
        <v>51910101</v>
      </c>
      <c r="AJ39" t="s">
        <v>3364</v>
      </c>
      <c r="AK39">
        <v>51699911</v>
      </c>
      <c r="AL39" t="s">
        <v>3365</v>
      </c>
      <c r="AM39">
        <v>424910</v>
      </c>
      <c r="AN39" t="s">
        <v>3366</v>
      </c>
      <c r="AO39">
        <v>424690</v>
      </c>
      <c r="AP39" t="s">
        <v>2301</v>
      </c>
      <c r="AQ39" t="s">
        <v>75</v>
      </c>
      <c r="AR39" t="s">
        <v>3367</v>
      </c>
      <c r="AS39" t="s">
        <v>3368</v>
      </c>
      <c r="AT39" t="s">
        <v>76</v>
      </c>
      <c r="AU39" t="s">
        <v>262</v>
      </c>
      <c r="AV39" t="s">
        <v>62</v>
      </c>
      <c r="AW39" t="s">
        <v>3367</v>
      </c>
      <c r="AX39" t="s">
        <v>3368</v>
      </c>
      <c r="AY39" t="s">
        <v>262</v>
      </c>
      <c r="AZ39" t="s">
        <v>62</v>
      </c>
      <c r="BB39" t="s">
        <v>3369</v>
      </c>
      <c r="BC39" t="s">
        <v>3358</v>
      </c>
      <c r="BD39" t="s">
        <v>262</v>
      </c>
      <c r="BE39" t="s">
        <v>62</v>
      </c>
      <c r="BF39">
        <v>2</v>
      </c>
      <c r="BG39">
        <v>452</v>
      </c>
      <c r="BH39" s="4" t="s">
        <v>3367</v>
      </c>
      <c r="BI39" s="4" t="s">
        <v>3368</v>
      </c>
      <c r="BJ39" s="4" t="s">
        <v>4221</v>
      </c>
      <c r="BK39" s="4" t="s">
        <v>4222</v>
      </c>
      <c r="BL39" s="4" t="s">
        <v>4223</v>
      </c>
      <c r="BM39" s="4" t="s">
        <v>390</v>
      </c>
      <c r="BN39" s="4" t="s">
        <v>4224</v>
      </c>
      <c r="BO39" s="4" t="s">
        <v>62</v>
      </c>
      <c r="BP39" s="4">
        <v>3317776000</v>
      </c>
      <c r="BQ39" s="5">
        <v>8265000000</v>
      </c>
      <c r="BR39" s="4">
        <v>25</v>
      </c>
      <c r="BS39" s="6">
        <v>10300</v>
      </c>
      <c r="BT39" s="4">
        <v>1924</v>
      </c>
      <c r="BU39" s="4" t="s">
        <v>163</v>
      </c>
      <c r="BV39" s="4" t="s">
        <v>4225</v>
      </c>
      <c r="BW39" s="4" t="s">
        <v>98</v>
      </c>
      <c r="BX39" s="4" t="s">
        <v>2299</v>
      </c>
      <c r="BY39" s="4">
        <v>5169</v>
      </c>
      <c r="BZ39" s="4" t="s">
        <v>2300</v>
      </c>
      <c r="CA39" s="4">
        <v>5191</v>
      </c>
      <c r="CB39" s="4" t="s">
        <v>3363</v>
      </c>
      <c r="CC39" s="4">
        <v>51699907</v>
      </c>
      <c r="CD39" s="4" t="s">
        <v>4226</v>
      </c>
      <c r="CE39" s="4">
        <v>51910101</v>
      </c>
      <c r="CF39" s="4" t="s">
        <v>3364</v>
      </c>
      <c r="CG39" s="4">
        <v>424690</v>
      </c>
      <c r="CH39" s="4" t="s">
        <v>2301</v>
      </c>
      <c r="CI39" s="4">
        <v>424910</v>
      </c>
      <c r="CJ39" s="4" t="s">
        <v>3366</v>
      </c>
      <c r="CK39" s="19">
        <f>IF(BQ39&gt;0,BQ39,W39)</f>
        <v>8265000000</v>
      </c>
      <c r="CL39" s="20">
        <f>IF(BS39&gt;0,BS39,Y39)</f>
        <v>10300</v>
      </c>
      <c r="CM39" s="34">
        <f>IF(CG39&gt;0,CG39,AM39)</f>
        <v>424690</v>
      </c>
      <c r="CN39" s="80">
        <f>IF($BH39="",1,COUNTIF($BH$3:$BH39,$BH39))</f>
        <v>1</v>
      </c>
      <c r="CP39" t="str">
        <f>IF($K39="Standard Match","Match",IF($K39="Name Only Match",IF($CO39="Yes","Match","Name Only Match"),"No Match"))</f>
        <v>Match</v>
      </c>
      <c r="CQ39" s="35" t="str">
        <f>IF(AND(CP39="Match",CK39&gt;0,CL39&gt;0),"Y","N")</f>
        <v>Y</v>
      </c>
      <c r="CS39" t="str">
        <f>IF($CQ39="Y",VLOOKUP($CM39,'SBA Size Standards'!$B$3:$G$57,MATCH('SBA Size Standards'!$G$3,'SBA Size Standards'!$B$3:$G$3,0),FALSE),"")</f>
        <v>Employment</v>
      </c>
      <c r="CT39" s="60" t="str">
        <f>IF(CQ39="Y",IF($CS39="Employment","N/A",VLOOKUP($CM39,'SBA Size Standards'!$B$3:$G$57,MATCH('SBA Size Standards'!$E$3,'SBA Size Standards'!$B$3:$G$3,0),FALSE)),"")</f>
        <v>N/A</v>
      </c>
      <c r="CU39" s="86">
        <f>IF($CQ39="Y",IF($CS39="Revenue","N/A",VLOOKUP($CM39,'SBA Size Standards'!$B$3:$G$57,MATCH('SBA Size Standards'!$F$3,'SBA Size Standards'!$B$3:$G$3,0),FALSE)),"")</f>
        <v>150</v>
      </c>
      <c r="CV39" t="str">
        <f>IF($CQ39="Y",IF(OR(AND($CS39="Employment",$CL39&lt;$CU39),AND($CS39="Revenue",$CK39&lt;$CT39)),"YES","NO"),"")</f>
        <v>NO</v>
      </c>
      <c r="CW39" s="90" t="str">
        <f>IF($CQ39="Y",INDEX('SBA Size Standards'!$N$3:$N$12,MATCH($CK39,'SBA Size Standards'!$O$3:$O$12,1)),"")</f>
        <v>$1,000,000,001 -$125,000,000,000</v>
      </c>
      <c r="CX39" s="122" t="s">
        <v>4774</v>
      </c>
      <c r="CY39" s="122">
        <f>INDEX('NM O&amp;G Production'!$P$3:$P$537,MATCH(CX39,'NM O&amp;G Production'!$Q$3:$Q$537,0))</f>
        <v>497</v>
      </c>
      <c r="CZ39" s="122" t="str">
        <f>INDEX('NM O&amp;G Production'!$O$3:$O$537,MATCH(CY39,'NM O&amp;G Production'!$P$3:$P$537,0))</f>
        <v>No</v>
      </c>
      <c r="DA39" s="127">
        <f>INDEX('NM O&amp;G Production'!$K$3:$O$537,MATCH($CY39,'NM O&amp;G Production'!$P$3:$P$537,0),MATCH(DA$2,'NM O&amp;G Production'!$K$2:$O$2,0))</f>
        <v>0</v>
      </c>
      <c r="DB39" s="127">
        <f>INDEX('NM O&amp;G Production'!$K$3:$O$537,MATCH($CY39,'NM O&amp;G Production'!$P$3:$P$537,0),MATCH(DB$2,'NM O&amp;G Production'!$K$2:$O$2,0))</f>
        <v>0</v>
      </c>
      <c r="DC39" s="127"/>
      <c r="DD39" s="127">
        <f>INDEX('NM O&amp;G Production'!$K$3:$O$537,MATCH($CY39,'NM O&amp;G Production'!$P$3:$P$537,0),MATCH(DD$2,'NM O&amp;G Production'!$K$2:$O$2,0))</f>
        <v>0</v>
      </c>
      <c r="DE39" s="127">
        <f>INDEX('NM O&amp;G Production'!$K$3:$O$537,MATCH($CY39,'NM O&amp;G Production'!$P$3:$P$537,0),MATCH(DE$2,'NM O&amp;G Production'!$K$2:$O$2,0))</f>
        <v>0</v>
      </c>
      <c r="DF39" s="258" t="e">
        <f>CK39/(DB39+DA39)</f>
        <v>#DIV/0!</v>
      </c>
      <c r="DG39" s="57">
        <f>DD39*(12/18)*1.06*'Oil and Gas Prices'!$C$18</f>
        <v>0</v>
      </c>
      <c r="DH39" s="284">
        <f>DE39*(12/18)*'Oil and Gas Prices'!$C$4</f>
        <v>0</v>
      </c>
      <c r="DI39" s="284"/>
      <c r="DJ39" s="57" t="e">
        <f>(DG39+DH39)/(DA39+DB39)</f>
        <v>#DIV/0!</v>
      </c>
      <c r="DK39" s="18" t="e">
        <f>CK39/DI39</f>
        <v>#DIV/0!</v>
      </c>
    </row>
    <row r="40" spans="1:115" x14ac:dyDescent="0.25">
      <c r="A40" s="21" t="s">
        <v>3406</v>
      </c>
      <c r="B40" s="21" t="s">
        <v>2862</v>
      </c>
      <c r="C40" s="21"/>
      <c r="D40" s="21" t="s">
        <v>153</v>
      </c>
      <c r="E40" s="21" t="s">
        <v>80</v>
      </c>
      <c r="F40">
        <v>79705</v>
      </c>
      <c r="G40" t="s">
        <v>62</v>
      </c>
      <c r="I40">
        <v>503</v>
      </c>
      <c r="J40" t="s">
        <v>63</v>
      </c>
      <c r="K40" t="s">
        <v>4134</v>
      </c>
      <c r="L40" t="s">
        <v>3627</v>
      </c>
      <c r="M40">
        <v>8</v>
      </c>
      <c r="N40" t="s">
        <v>4023</v>
      </c>
      <c r="O40" s="21" t="s">
        <v>4024</v>
      </c>
      <c r="P40" s="21"/>
      <c r="Q40" s="21" t="s">
        <v>4025</v>
      </c>
      <c r="R40" s="21" t="s">
        <v>112</v>
      </c>
      <c r="S40" s="21" t="s">
        <v>94</v>
      </c>
      <c r="T40" t="s">
        <v>4026</v>
      </c>
      <c r="U40" t="s">
        <v>62</v>
      </c>
      <c r="V40">
        <v>7138731000</v>
      </c>
      <c r="W40" s="23">
        <v>167885</v>
      </c>
      <c r="X40" s="21">
        <v>1</v>
      </c>
      <c r="Y40" s="21">
        <v>1</v>
      </c>
      <c r="Z40">
        <v>2008</v>
      </c>
      <c r="AA40" s="21" t="s">
        <v>70</v>
      </c>
      <c r="AB40" t="s">
        <v>4027</v>
      </c>
      <c r="AC40" t="s">
        <v>231</v>
      </c>
      <c r="AD40" s="21" t="s">
        <v>71</v>
      </c>
      <c r="AE40">
        <v>1389</v>
      </c>
      <c r="AF40" t="s">
        <v>72</v>
      </c>
      <c r="AI40">
        <v>13899919</v>
      </c>
      <c r="AJ40" t="s">
        <v>4028</v>
      </c>
      <c r="AM40" s="21">
        <v>213112</v>
      </c>
      <c r="AN40" s="21" t="s">
        <v>74</v>
      </c>
      <c r="AO40" s="21"/>
      <c r="AP40" s="21"/>
      <c r="AQ40" s="21" t="s">
        <v>168</v>
      </c>
      <c r="AR40" t="s">
        <v>4029</v>
      </c>
      <c r="AS40" t="s">
        <v>4030</v>
      </c>
      <c r="AT40" t="s">
        <v>76</v>
      </c>
      <c r="AU40" t="s">
        <v>80</v>
      </c>
      <c r="AV40" t="s">
        <v>62</v>
      </c>
      <c r="AW40" t="s">
        <v>4029</v>
      </c>
      <c r="AX40" t="s">
        <v>4030</v>
      </c>
      <c r="AY40" t="s">
        <v>80</v>
      </c>
      <c r="AZ40" t="s">
        <v>62</v>
      </c>
      <c r="BA40" t="s">
        <v>4031</v>
      </c>
      <c r="BC40" t="s">
        <v>3228</v>
      </c>
      <c r="BD40" t="s">
        <v>80</v>
      </c>
      <c r="BE40" t="s">
        <v>62</v>
      </c>
      <c r="BF40">
        <v>4</v>
      </c>
      <c r="BG40" s="24">
        <v>214</v>
      </c>
      <c r="BH40" s="24" t="s">
        <v>4029</v>
      </c>
      <c r="BI40" s="24" t="s">
        <v>4030</v>
      </c>
      <c r="BJ40" s="24" t="s">
        <v>4333</v>
      </c>
      <c r="BK40" s="24" t="s">
        <v>4334</v>
      </c>
      <c r="BL40" s="24" t="s">
        <v>112</v>
      </c>
      <c r="BM40" s="24" t="s">
        <v>94</v>
      </c>
      <c r="BN40" s="24" t="s">
        <v>4335</v>
      </c>
      <c r="BO40" s="24" t="s">
        <v>62</v>
      </c>
      <c r="BP40" s="4">
        <v>7135841000</v>
      </c>
      <c r="BQ40" s="25">
        <v>8260300000</v>
      </c>
      <c r="BR40" s="24">
        <v>162</v>
      </c>
      <c r="BS40" s="26">
        <v>2680</v>
      </c>
      <c r="BT40" s="4">
        <v>2005</v>
      </c>
      <c r="BU40" s="24" t="s">
        <v>163</v>
      </c>
      <c r="BV40" s="4" t="s">
        <v>4336</v>
      </c>
      <c r="BW40" s="4" t="s">
        <v>133</v>
      </c>
      <c r="BX40" s="24" t="s">
        <v>167</v>
      </c>
      <c r="BY40" s="4">
        <v>4924</v>
      </c>
      <c r="BZ40" s="4" t="s">
        <v>166</v>
      </c>
      <c r="CA40" s="4">
        <v>4922</v>
      </c>
      <c r="CB40" s="4" t="s">
        <v>1028</v>
      </c>
      <c r="CC40" s="4">
        <v>49240000</v>
      </c>
      <c r="CD40" s="4" t="s">
        <v>167</v>
      </c>
      <c r="CE40" s="4">
        <v>49229901</v>
      </c>
      <c r="CF40" s="4" t="s">
        <v>1108</v>
      </c>
      <c r="CG40" s="24">
        <v>221210</v>
      </c>
      <c r="CH40" s="24" t="s">
        <v>166</v>
      </c>
      <c r="CI40" s="24">
        <v>486210</v>
      </c>
      <c r="CJ40" s="24" t="s">
        <v>1029</v>
      </c>
      <c r="CK40" s="19">
        <f>IF(BQ40&gt;0,BQ40,W40)</f>
        <v>8260300000</v>
      </c>
      <c r="CL40" s="20">
        <f>IF(BS40&gt;0,BS40,Y40)</f>
        <v>2680</v>
      </c>
      <c r="CM40" s="34">
        <f>IF(CG40&gt;0,CG40,AM40)</f>
        <v>221210</v>
      </c>
      <c r="CN40" s="80">
        <f>IF($BH40="",1,COUNTIF($BH$3:$BH40,$BH40))</f>
        <v>1</v>
      </c>
      <c r="CO40" s="33" t="s">
        <v>4386</v>
      </c>
      <c r="CP40" t="str">
        <f>IF($K40="Standard Match","Match",IF($K40="Name Only Match",IF($CO40="Yes","Match","Name Only Match"),"No Match"))</f>
        <v>Match</v>
      </c>
      <c r="CQ40" s="35" t="str">
        <f>IF(AND(CP40="Match",CK40&gt;0,CL40&gt;0),"Y","N")</f>
        <v>Y</v>
      </c>
      <c r="CR40" s="21"/>
      <c r="CS40" t="str">
        <f>IF($CQ40="Y",VLOOKUP($CM40,'SBA Size Standards'!$B$3:$G$57,MATCH('SBA Size Standards'!$G$3,'SBA Size Standards'!$B$3:$G$3,0),FALSE),"")</f>
        <v>Employment</v>
      </c>
      <c r="CT40" s="60" t="str">
        <f>IF(CQ40="Y",IF($CS40="Employment","N/A",VLOOKUP($CM40,'SBA Size Standards'!$B$3:$G$57,MATCH('SBA Size Standards'!$E$3,'SBA Size Standards'!$B$3:$G$3,0),FALSE)),"")</f>
        <v>N/A</v>
      </c>
      <c r="CU40" s="86">
        <f>IF($CQ40="Y",IF($CS40="Revenue","N/A",VLOOKUP($CM40,'SBA Size Standards'!$B$3:$G$57,MATCH('SBA Size Standards'!$F$3,'SBA Size Standards'!$B$3:$G$3,0),FALSE)),"")</f>
        <v>1000</v>
      </c>
      <c r="CV40" t="str">
        <f>IF($CQ40="Y",IF(OR(AND($CS40="Employment",$CL40&lt;$CU40),AND($CS40="Revenue",$CK40&lt;$CT40)),"YES","NO"),"")</f>
        <v>NO</v>
      </c>
      <c r="CW40" s="90" t="str">
        <f>IF($CQ40="Y",INDEX('SBA Size Standards'!$N$3:$N$12,MATCH($CK40,'SBA Size Standards'!$O$3:$O$12,1)),"")</f>
        <v>$1,000,000,001 -$125,000,000,000</v>
      </c>
      <c r="CX40" s="122" t="s">
        <v>5002</v>
      </c>
      <c r="CY40" s="122">
        <f>INDEX('NM O&amp;G Production'!$P$3:$P$537,MATCH(CX40,'NM O&amp;G Production'!$Q$3:$Q$537,0))</f>
        <v>503</v>
      </c>
      <c r="CZ40" s="122" t="str">
        <f>INDEX('NM O&amp;G Production'!$O$3:$O$537,MATCH(CY40,'NM O&amp;G Production'!$P$3:$P$537,0))</f>
        <v>No</v>
      </c>
      <c r="DA40" s="127">
        <f>INDEX('NM O&amp;G Production'!$K$3:$O$537,MATCH($CY40,'NM O&amp;G Production'!$P$3:$P$537,0),MATCH(DA$2,'NM O&amp;G Production'!$K$2:$O$2,0))</f>
        <v>0</v>
      </c>
      <c r="DB40" s="127">
        <f>INDEX('NM O&amp;G Production'!$K$3:$O$537,MATCH($CY40,'NM O&amp;G Production'!$P$3:$P$537,0),MATCH(DB$2,'NM O&amp;G Production'!$K$2:$O$2,0))</f>
        <v>0</v>
      </c>
      <c r="DC40" s="127"/>
      <c r="DD40" s="127">
        <f>INDEX('NM O&amp;G Production'!$K$3:$O$537,MATCH($CY40,'NM O&amp;G Production'!$P$3:$P$537,0),MATCH(DD$2,'NM O&amp;G Production'!$K$2:$O$2,0))</f>
        <v>0</v>
      </c>
      <c r="DE40" s="127">
        <f>INDEX('NM O&amp;G Production'!$K$3:$O$537,MATCH($CY40,'NM O&amp;G Production'!$P$3:$P$537,0),MATCH(DE$2,'NM O&amp;G Production'!$K$2:$O$2,0))</f>
        <v>0</v>
      </c>
      <c r="DF40" s="258" t="e">
        <f>CK40/(DB40+DA40)</f>
        <v>#DIV/0!</v>
      </c>
      <c r="DG40" s="57">
        <f>DD40*(12/18)*1.06*'Oil and Gas Prices'!$C$18</f>
        <v>0</v>
      </c>
      <c r="DH40" s="284">
        <f>DE40*(12/18)*'Oil and Gas Prices'!$C$4</f>
        <v>0</v>
      </c>
      <c r="DI40" s="284"/>
      <c r="DJ40" s="57" t="e">
        <f>(DG40+DH40)/(DA40+DB40)</f>
        <v>#DIV/0!</v>
      </c>
      <c r="DK40" s="18" t="e">
        <f>CK40/DI40</f>
        <v>#DIV/0!</v>
      </c>
    </row>
    <row r="41" spans="1:115" x14ac:dyDescent="0.25">
      <c r="A41" t="s">
        <v>2342</v>
      </c>
      <c r="B41" t="s">
        <v>2343</v>
      </c>
      <c r="D41" t="s">
        <v>60</v>
      </c>
      <c r="E41" t="s">
        <v>61</v>
      </c>
      <c r="F41">
        <v>80209</v>
      </c>
      <c r="G41" t="s">
        <v>62</v>
      </c>
      <c r="I41">
        <v>331</v>
      </c>
      <c r="J41" t="s">
        <v>63</v>
      </c>
      <c r="K41" t="s">
        <v>4133</v>
      </c>
      <c r="L41" t="s">
        <v>113</v>
      </c>
      <c r="M41">
        <v>8</v>
      </c>
      <c r="N41" t="s">
        <v>2344</v>
      </c>
      <c r="O41" t="s">
        <v>2345</v>
      </c>
      <c r="Q41" t="s">
        <v>2346</v>
      </c>
      <c r="R41" t="s">
        <v>60</v>
      </c>
      <c r="S41" t="s">
        <v>68</v>
      </c>
      <c r="T41" t="s">
        <v>2347</v>
      </c>
      <c r="U41" t="s">
        <v>62</v>
      </c>
      <c r="V41">
        <v>7202875335</v>
      </c>
      <c r="W41" s="1">
        <v>21626100</v>
      </c>
      <c r="X41">
        <v>53</v>
      </c>
      <c r="Y41">
        <v>100</v>
      </c>
      <c r="Z41">
        <v>2011</v>
      </c>
      <c r="AA41" t="s">
        <v>163</v>
      </c>
      <c r="AB41" t="s">
        <v>2348</v>
      </c>
      <c r="AC41" t="s">
        <v>98</v>
      </c>
      <c r="AD41" t="s">
        <v>1300</v>
      </c>
      <c r="AE41">
        <v>7389</v>
      </c>
      <c r="AF41" t="s">
        <v>1301</v>
      </c>
      <c r="AI41">
        <v>73899954</v>
      </c>
      <c r="AJ41" t="s">
        <v>2349</v>
      </c>
      <c r="AM41">
        <v>561990</v>
      </c>
      <c r="AN41" t="s">
        <v>1936</v>
      </c>
      <c r="AQ41" t="s">
        <v>168</v>
      </c>
      <c r="AR41" t="s">
        <v>2350</v>
      </c>
      <c r="AS41" t="s">
        <v>2351</v>
      </c>
      <c r="AT41" t="s">
        <v>76</v>
      </c>
      <c r="AU41" t="s">
        <v>184</v>
      </c>
      <c r="AV41" t="s">
        <v>62</v>
      </c>
      <c r="AW41" t="s">
        <v>2350</v>
      </c>
      <c r="AX41" t="s">
        <v>2351</v>
      </c>
      <c r="AY41" t="s">
        <v>184</v>
      </c>
      <c r="AZ41" t="s">
        <v>62</v>
      </c>
      <c r="BA41" t="s">
        <v>2350</v>
      </c>
      <c r="BC41" t="s">
        <v>2351</v>
      </c>
      <c r="BD41" t="s">
        <v>184</v>
      </c>
      <c r="BE41" t="s">
        <v>62</v>
      </c>
      <c r="BF41">
        <v>2</v>
      </c>
      <c r="BG41">
        <v>241</v>
      </c>
      <c r="BH41" s="4" t="s">
        <v>2350</v>
      </c>
      <c r="BI41" s="4" t="s">
        <v>2351</v>
      </c>
      <c r="BK41" s="4" t="s">
        <v>187</v>
      </c>
      <c r="BL41" s="4" t="s">
        <v>183</v>
      </c>
      <c r="BM41" s="4" t="s">
        <v>188</v>
      </c>
      <c r="BN41" s="4" t="s">
        <v>4291</v>
      </c>
      <c r="BO41" s="4" t="s">
        <v>62</v>
      </c>
      <c r="BP41" s="4">
        <v>9184811119</v>
      </c>
      <c r="BQ41" s="5">
        <v>7584000000</v>
      </c>
      <c r="BR41" s="4">
        <v>3</v>
      </c>
      <c r="BS41" s="6">
        <v>1400</v>
      </c>
      <c r="BT41" s="4">
        <v>1940</v>
      </c>
      <c r="BU41" s="4" t="s">
        <v>163</v>
      </c>
      <c r="BV41" s="4" t="s">
        <v>4292</v>
      </c>
      <c r="BW41" s="4" t="s">
        <v>133</v>
      </c>
      <c r="BX41" s="4" t="s">
        <v>190</v>
      </c>
      <c r="BY41" s="4">
        <v>5984</v>
      </c>
      <c r="BZ41" s="4" t="s">
        <v>191</v>
      </c>
      <c r="CA41" s="4">
        <v>5172</v>
      </c>
      <c r="CB41" s="4" t="s">
        <v>826</v>
      </c>
      <c r="CC41" s="4">
        <v>59849903</v>
      </c>
      <c r="CD41" s="4" t="s">
        <v>192</v>
      </c>
      <c r="CE41" s="4">
        <v>51720102</v>
      </c>
      <c r="CF41" s="4" t="s">
        <v>4293</v>
      </c>
      <c r="CG41" s="4">
        <v>454310</v>
      </c>
      <c r="CH41" s="4" t="s">
        <v>193</v>
      </c>
      <c r="CI41" s="4">
        <v>424720</v>
      </c>
      <c r="CJ41" s="4" t="s">
        <v>827</v>
      </c>
      <c r="CK41" s="19">
        <f>IF(BQ41&gt;0,BQ41,W41)</f>
        <v>7584000000</v>
      </c>
      <c r="CL41" s="20">
        <f>IF(BS41&gt;0,BS41,Y41)</f>
        <v>1400</v>
      </c>
      <c r="CM41" s="34">
        <f>IF(CG41&gt;0,CG41,AM41)</f>
        <v>454310</v>
      </c>
      <c r="CN41" s="80">
        <f>IF($BH41="",1,COUNTIF($BH$3:$BH41,$BH41))</f>
        <v>1</v>
      </c>
      <c r="CP41" t="str">
        <f>IF($K41="Standard Match","Match",IF($K41="Name Only Match",IF($CO41="Yes","Match","Name Only Match"),"No Match"))</f>
        <v>Match</v>
      </c>
      <c r="CQ41" s="35" t="str">
        <f>IF(AND(CP41="Match",CK41&gt;0,CL41&gt;0),"Y","N")</f>
        <v>Y</v>
      </c>
      <c r="CS41" t="str">
        <f>IF($CQ41="Y",VLOOKUP($CM41,'SBA Size Standards'!$B$3:$G$57,MATCH('SBA Size Standards'!$G$3,'SBA Size Standards'!$B$3:$G$3,0),FALSE),"")</f>
        <v>Employment</v>
      </c>
      <c r="CT41" s="60" t="str">
        <f>IF(CQ41="Y",IF($CS41="Employment","N/A",VLOOKUP($CM41,'SBA Size Standards'!$B$3:$G$57,MATCH('SBA Size Standards'!$E$3,'SBA Size Standards'!$B$3:$G$3,0),FALSE)),"")</f>
        <v>N/A</v>
      </c>
      <c r="CU41" s="86">
        <f>IF($CQ41="Y",IF($CS41="Revenue","N/A",VLOOKUP($CM41,'SBA Size Standards'!$B$3:$G$57,MATCH('SBA Size Standards'!$F$3,'SBA Size Standards'!$B$3:$G$3,0),FALSE)),"")</f>
        <v>100</v>
      </c>
      <c r="CV41" t="str">
        <f>IF($CQ41="Y",IF(OR(AND($CS41="Employment",$CL41&lt;$CU41),AND($CS41="Revenue",$CK41&lt;$CT41)),"YES","NO"),"")</f>
        <v>NO</v>
      </c>
      <c r="CW41" s="90" t="str">
        <f>IF($CQ41="Y",INDEX('SBA Size Standards'!$N$3:$N$12,MATCH($CK41,'SBA Size Standards'!$O$3:$O$12,1)),"")</f>
        <v>$1,000,000,001 -$125,000,000,000</v>
      </c>
      <c r="CX41" s="122" t="s">
        <v>4877</v>
      </c>
      <c r="CY41" s="122">
        <f>INDEX('NM O&amp;G Production'!$P$3:$P$537,MATCH(CX41,'NM O&amp;G Production'!$Q$3:$Q$537,0))</f>
        <v>331</v>
      </c>
      <c r="CZ41" s="122" t="str">
        <f>INDEX('NM O&amp;G Production'!$O$3:$O$537,MATCH(CY41,'NM O&amp;G Production'!$P$3:$P$537,0))</f>
        <v>No</v>
      </c>
      <c r="DA41" s="127">
        <f>INDEX('NM O&amp;G Production'!$K$3:$O$537,MATCH($CY41,'NM O&amp;G Production'!$P$3:$P$537,0),MATCH(DA$2,'NM O&amp;G Production'!$K$2:$O$2,0))</f>
        <v>0</v>
      </c>
      <c r="DB41" s="127">
        <f>INDEX('NM O&amp;G Production'!$K$3:$O$537,MATCH($CY41,'NM O&amp;G Production'!$P$3:$P$537,0),MATCH(DB$2,'NM O&amp;G Production'!$K$2:$O$2,0))</f>
        <v>0</v>
      </c>
      <c r="DC41" s="127"/>
      <c r="DD41" s="127">
        <f>INDEX('NM O&amp;G Production'!$K$3:$O$537,MATCH($CY41,'NM O&amp;G Production'!$P$3:$P$537,0),MATCH(DD$2,'NM O&amp;G Production'!$K$2:$O$2,0))</f>
        <v>0</v>
      </c>
      <c r="DE41" s="127">
        <f>INDEX('NM O&amp;G Production'!$K$3:$O$537,MATCH($CY41,'NM O&amp;G Production'!$P$3:$P$537,0),MATCH(DE$2,'NM O&amp;G Production'!$K$2:$O$2,0))</f>
        <v>0</v>
      </c>
      <c r="DF41" s="258" t="e">
        <f>CK41/(DB41+DA41)</f>
        <v>#DIV/0!</v>
      </c>
      <c r="DG41" s="57">
        <f>DD41*(12/18)*1.06*'Oil and Gas Prices'!$C$18</f>
        <v>0</v>
      </c>
      <c r="DH41" s="284">
        <f>DE41*(12/18)*'Oil and Gas Prices'!$C$4</f>
        <v>0</v>
      </c>
      <c r="DI41" s="284"/>
      <c r="DJ41" s="57" t="e">
        <f>(DG41+DH41)/(DA41+DB41)</f>
        <v>#DIV/0!</v>
      </c>
      <c r="DK41" s="18" t="e">
        <f>CK41/DI41</f>
        <v>#DIV/0!</v>
      </c>
    </row>
    <row r="42" spans="1:115" x14ac:dyDescent="0.25">
      <c r="A42" t="s">
        <v>3384</v>
      </c>
      <c r="B42" t="s">
        <v>3385</v>
      </c>
      <c r="D42" t="s">
        <v>112</v>
      </c>
      <c r="E42" t="s">
        <v>80</v>
      </c>
      <c r="F42">
        <v>77002</v>
      </c>
      <c r="G42" t="s">
        <v>62</v>
      </c>
      <c r="I42">
        <v>501</v>
      </c>
      <c r="J42" t="s">
        <v>63</v>
      </c>
      <c r="K42" t="s">
        <v>4133</v>
      </c>
      <c r="L42" t="s">
        <v>3386</v>
      </c>
      <c r="M42">
        <v>8</v>
      </c>
      <c r="N42" t="s">
        <v>3387</v>
      </c>
      <c r="O42" t="s">
        <v>3388</v>
      </c>
      <c r="P42" t="s">
        <v>3389</v>
      </c>
      <c r="Q42" t="s">
        <v>3390</v>
      </c>
      <c r="R42" t="s">
        <v>112</v>
      </c>
      <c r="S42" t="s">
        <v>94</v>
      </c>
      <c r="T42" t="s">
        <v>3391</v>
      </c>
      <c r="U42" t="s">
        <v>62</v>
      </c>
      <c r="V42">
        <v>7137446100</v>
      </c>
      <c r="W42" s="1">
        <v>216606260</v>
      </c>
      <c r="X42">
        <v>37</v>
      </c>
      <c r="Y42">
        <v>158</v>
      </c>
      <c r="Z42">
        <v>2014</v>
      </c>
      <c r="AA42" t="s">
        <v>163</v>
      </c>
      <c r="AB42" t="s">
        <v>3392</v>
      </c>
      <c r="AC42" t="s">
        <v>98</v>
      </c>
      <c r="AD42" t="s">
        <v>119</v>
      </c>
      <c r="AE42">
        <v>1382</v>
      </c>
      <c r="AF42" t="s">
        <v>120</v>
      </c>
      <c r="AG42">
        <v>6719</v>
      </c>
      <c r="AH42" t="s">
        <v>1409</v>
      </c>
      <c r="AI42">
        <v>13820000</v>
      </c>
      <c r="AJ42" t="s">
        <v>119</v>
      </c>
      <c r="AK42">
        <v>67199901</v>
      </c>
      <c r="AL42" t="s">
        <v>3393</v>
      </c>
      <c r="AM42">
        <v>213112</v>
      </c>
      <c r="AN42" t="s">
        <v>74</v>
      </c>
      <c r="AO42">
        <v>551112</v>
      </c>
      <c r="AP42" t="s">
        <v>1411</v>
      </c>
      <c r="AQ42" t="s">
        <v>168</v>
      </c>
      <c r="AR42" t="s">
        <v>3394</v>
      </c>
      <c r="AS42" t="s">
        <v>3395</v>
      </c>
      <c r="AT42" t="s">
        <v>76</v>
      </c>
      <c r="AU42" t="s">
        <v>3396</v>
      </c>
      <c r="AV42" t="s">
        <v>2337</v>
      </c>
      <c r="AW42" t="s">
        <v>3387</v>
      </c>
      <c r="AX42" t="s">
        <v>3388</v>
      </c>
      <c r="AY42" t="s">
        <v>80</v>
      </c>
      <c r="AZ42" t="s">
        <v>62</v>
      </c>
      <c r="BA42" t="s">
        <v>3397</v>
      </c>
      <c r="BC42" t="s">
        <v>3398</v>
      </c>
      <c r="BE42" t="s">
        <v>2337</v>
      </c>
      <c r="BF42">
        <v>5</v>
      </c>
      <c r="BG42">
        <v>641</v>
      </c>
      <c r="BH42" s="4" t="s">
        <v>3394</v>
      </c>
      <c r="BI42" s="4" t="s">
        <v>3395</v>
      </c>
      <c r="BK42" s="4" t="s">
        <v>4294</v>
      </c>
      <c r="BL42" s="4" t="s">
        <v>4295</v>
      </c>
      <c r="BM42" s="4" t="s">
        <v>4296</v>
      </c>
      <c r="BN42" s="4" t="s">
        <v>4297</v>
      </c>
      <c r="BO42" s="4" t="s">
        <v>2337</v>
      </c>
      <c r="BP42" s="4">
        <v>5143931000</v>
      </c>
      <c r="BQ42" s="5">
        <v>7146461000</v>
      </c>
      <c r="BR42" s="4">
        <v>50</v>
      </c>
      <c r="BS42" s="6">
        <v>46490</v>
      </c>
      <c r="BT42" s="4">
        <v>1967</v>
      </c>
      <c r="BU42" s="4" t="s">
        <v>163</v>
      </c>
      <c r="BV42" s="4" t="s">
        <v>4298</v>
      </c>
      <c r="BW42" s="4" t="s">
        <v>98</v>
      </c>
      <c r="BX42" s="4" t="s">
        <v>551</v>
      </c>
      <c r="BY42" s="4">
        <v>8711</v>
      </c>
      <c r="BZ42" s="4" t="s">
        <v>507</v>
      </c>
      <c r="CA42" s="4">
        <v>6531</v>
      </c>
      <c r="CB42" s="4" t="s">
        <v>353</v>
      </c>
      <c r="CC42" s="4">
        <v>87110000</v>
      </c>
      <c r="CD42" s="4" t="s">
        <v>509</v>
      </c>
      <c r="CE42" s="4">
        <v>65310200</v>
      </c>
      <c r="CF42" s="4" t="s">
        <v>4299</v>
      </c>
      <c r="CG42" s="4">
        <v>541330</v>
      </c>
      <c r="CH42" s="4" t="s">
        <v>507</v>
      </c>
      <c r="CI42" s="4">
        <v>531210</v>
      </c>
      <c r="CJ42" s="4" t="s">
        <v>354</v>
      </c>
      <c r="CK42" s="19">
        <f>IF(BQ42&gt;0,BQ42,W42)</f>
        <v>7146461000</v>
      </c>
      <c r="CL42" s="20">
        <f>IF(BS42&gt;0,BS42,Y42)</f>
        <v>46490</v>
      </c>
      <c r="CM42" s="34">
        <f>IF(CG42&gt;0,CG42,AM42)</f>
        <v>541330</v>
      </c>
      <c r="CN42" s="80">
        <f>IF($BH42="",1,COUNTIF($BH$3:$BH42,$BH42))</f>
        <v>1</v>
      </c>
      <c r="CP42" t="str">
        <f>IF($K42="Standard Match","Match",IF($K42="Name Only Match",IF($CO42="Yes","Match","Name Only Match"),"No Match"))</f>
        <v>Match</v>
      </c>
      <c r="CQ42" s="35" t="str">
        <f>IF(AND(CP42="Match",CK42&gt;0,CL42&gt;0),"Y","N")</f>
        <v>Y</v>
      </c>
      <c r="CS42" t="str">
        <f>IF($CQ42="Y",VLOOKUP($CM42,'SBA Size Standards'!$B$3:$G$57,MATCH('SBA Size Standards'!$G$3,'SBA Size Standards'!$B$3:$G$3,0),FALSE),"")</f>
        <v>Revenue</v>
      </c>
      <c r="CT42" s="60">
        <f>IF(CQ42="Y",IF($CS42="Employment","N/A",VLOOKUP($CM42,'SBA Size Standards'!$B$3:$G$57,MATCH('SBA Size Standards'!$E$3,'SBA Size Standards'!$B$3:$G$3,0),FALSE)),"")</f>
        <v>16500000</v>
      </c>
      <c r="CU42" s="86" t="str">
        <f>IF($CQ42="Y",IF($CS42="Revenue","N/A",VLOOKUP($CM42,'SBA Size Standards'!$B$3:$G$57,MATCH('SBA Size Standards'!$F$3,'SBA Size Standards'!$B$3:$G$3,0),FALSE)),"")</f>
        <v>N/A</v>
      </c>
      <c r="CV42" t="str">
        <f>IF($CQ42="Y",IF(OR(AND($CS42="Employment",$CL42&lt;$CU42),AND($CS42="Revenue",$CK42&lt;$CT42)),"YES","NO"),"")</f>
        <v>NO</v>
      </c>
      <c r="CW42" s="90" t="str">
        <f>IF($CQ42="Y",INDEX('SBA Size Standards'!$N$3:$N$12,MATCH($CK42,'SBA Size Standards'!$O$3:$O$12,1)),"")</f>
        <v>$1,000,000,001 -$125,000,000,000</v>
      </c>
      <c r="CX42" s="122" t="s">
        <v>4918</v>
      </c>
      <c r="CY42" s="122">
        <f>INDEX('NM O&amp;G Production'!$P$3:$P$537,MATCH(CX42,'NM O&amp;G Production'!$Q$3:$Q$537,0))</f>
        <v>501</v>
      </c>
      <c r="CZ42" s="122" t="str">
        <f>INDEX('NM O&amp;G Production'!$O$3:$O$537,MATCH(CY42,'NM O&amp;G Production'!$P$3:$P$537,0))</f>
        <v>No</v>
      </c>
      <c r="DA42" s="127">
        <f>INDEX('NM O&amp;G Production'!$K$3:$O$537,MATCH($CY42,'NM O&amp;G Production'!$P$3:$P$537,0),MATCH(DA$2,'NM O&amp;G Production'!$K$2:$O$2,0))</f>
        <v>0</v>
      </c>
      <c r="DB42" s="127">
        <f>INDEX('NM O&amp;G Production'!$K$3:$O$537,MATCH($CY42,'NM O&amp;G Production'!$P$3:$P$537,0),MATCH(DB$2,'NM O&amp;G Production'!$K$2:$O$2,0))</f>
        <v>0</v>
      </c>
      <c r="DC42" s="127"/>
      <c r="DD42" s="127">
        <f>INDEX('NM O&amp;G Production'!$K$3:$O$537,MATCH($CY42,'NM O&amp;G Production'!$P$3:$P$537,0),MATCH(DD$2,'NM O&amp;G Production'!$K$2:$O$2,0))</f>
        <v>0</v>
      </c>
      <c r="DE42" s="127">
        <f>INDEX('NM O&amp;G Production'!$K$3:$O$537,MATCH($CY42,'NM O&amp;G Production'!$P$3:$P$537,0),MATCH(DE$2,'NM O&amp;G Production'!$K$2:$O$2,0))</f>
        <v>0</v>
      </c>
      <c r="DF42" s="258" t="e">
        <f>CK42/(DB42+DA42)</f>
        <v>#DIV/0!</v>
      </c>
      <c r="DG42" s="57">
        <f>DD42*(12/18)*1.06*'Oil and Gas Prices'!$C$18</f>
        <v>0</v>
      </c>
      <c r="DH42" s="284">
        <f>DE42*(12/18)*'Oil and Gas Prices'!$C$4</f>
        <v>0</v>
      </c>
      <c r="DI42" s="284"/>
      <c r="DJ42" s="57" t="e">
        <f>(DG42+DH42)/(DA42+DB42)</f>
        <v>#DIV/0!</v>
      </c>
      <c r="DK42" s="18" t="e">
        <f>CK42/DI42</f>
        <v>#DIV/0!</v>
      </c>
    </row>
    <row r="43" spans="1:115" x14ac:dyDescent="0.25">
      <c r="A43" t="s">
        <v>173</v>
      </c>
      <c r="B43" t="s">
        <v>174</v>
      </c>
      <c r="D43" t="s">
        <v>153</v>
      </c>
      <c r="E43" t="s">
        <v>80</v>
      </c>
      <c r="F43">
        <v>79705</v>
      </c>
      <c r="G43" t="s">
        <v>62</v>
      </c>
      <c r="I43">
        <v>15</v>
      </c>
      <c r="J43" t="s">
        <v>63</v>
      </c>
      <c r="K43" t="s">
        <v>4133</v>
      </c>
      <c r="L43" t="s">
        <v>64</v>
      </c>
      <c r="M43">
        <v>10</v>
      </c>
      <c r="N43" t="s">
        <v>175</v>
      </c>
      <c r="O43" t="s">
        <v>173</v>
      </c>
      <c r="Q43" t="s">
        <v>176</v>
      </c>
      <c r="R43" t="s">
        <v>153</v>
      </c>
      <c r="S43" t="s">
        <v>94</v>
      </c>
      <c r="T43" t="s">
        <v>177</v>
      </c>
      <c r="U43" t="s">
        <v>62</v>
      </c>
      <c r="V43">
        <v>7132966000</v>
      </c>
      <c r="X43">
        <v>15</v>
      </c>
      <c r="Y43">
        <v>0</v>
      </c>
      <c r="AA43" t="s">
        <v>96</v>
      </c>
      <c r="AB43" t="s">
        <v>178</v>
      </c>
      <c r="AC43" t="s">
        <v>179</v>
      </c>
      <c r="AD43" t="s">
        <v>99</v>
      </c>
      <c r="AE43">
        <v>1311</v>
      </c>
      <c r="AF43" t="s">
        <v>100</v>
      </c>
      <c r="AI43">
        <v>13110101</v>
      </c>
      <c r="AJ43" t="s">
        <v>102</v>
      </c>
      <c r="AM43">
        <v>211120</v>
      </c>
      <c r="AN43" t="s">
        <v>104</v>
      </c>
      <c r="AQ43" t="s">
        <v>75</v>
      </c>
      <c r="AR43" t="s">
        <v>180</v>
      </c>
      <c r="AS43" t="s">
        <v>173</v>
      </c>
      <c r="AT43" t="s">
        <v>76</v>
      </c>
      <c r="AU43" t="s">
        <v>80</v>
      </c>
      <c r="AV43" t="s">
        <v>62</v>
      </c>
      <c r="AW43" t="s">
        <v>180</v>
      </c>
      <c r="AX43" t="s">
        <v>173</v>
      </c>
      <c r="AY43" t="s">
        <v>80</v>
      </c>
      <c r="AZ43" t="s">
        <v>62</v>
      </c>
      <c r="BB43" t="s">
        <v>180</v>
      </c>
      <c r="BC43" t="s">
        <v>173</v>
      </c>
      <c r="BD43" t="s">
        <v>80</v>
      </c>
      <c r="BE43" t="s">
        <v>62</v>
      </c>
      <c r="BF43">
        <v>1</v>
      </c>
      <c r="BG43">
        <v>133</v>
      </c>
      <c r="BH43" s="4" t="s">
        <v>180</v>
      </c>
      <c r="BI43" s="4" t="s">
        <v>173</v>
      </c>
      <c r="BJ43" s="4" t="s">
        <v>4138</v>
      </c>
      <c r="BK43" s="4" t="s">
        <v>4139</v>
      </c>
      <c r="BL43" s="4" t="s">
        <v>112</v>
      </c>
      <c r="BM43" s="4" t="s">
        <v>94</v>
      </c>
      <c r="BN43" s="4" t="s">
        <v>4140</v>
      </c>
      <c r="BO43" s="4" t="s">
        <v>62</v>
      </c>
      <c r="BP43" s="4">
        <v>7132966000</v>
      </c>
      <c r="BQ43" s="5">
        <v>6411000000</v>
      </c>
      <c r="BR43" s="4">
        <v>507</v>
      </c>
      <c r="BS43" s="6">
        <v>3163</v>
      </c>
      <c r="BT43" s="4">
        <v>1954</v>
      </c>
      <c r="BU43" s="4" t="s">
        <v>163</v>
      </c>
      <c r="BV43" s="4" t="s">
        <v>4141</v>
      </c>
      <c r="BW43" s="4" t="s">
        <v>98</v>
      </c>
      <c r="BX43" s="4" t="s">
        <v>99</v>
      </c>
      <c r="BY43" s="4">
        <v>1311</v>
      </c>
      <c r="BZ43" s="4" t="s">
        <v>100</v>
      </c>
      <c r="CC43" s="4">
        <v>13110101</v>
      </c>
      <c r="CD43" s="4" t="s">
        <v>102</v>
      </c>
      <c r="CG43" s="4">
        <v>211120</v>
      </c>
      <c r="CH43" s="4" t="s">
        <v>104</v>
      </c>
      <c r="CK43" s="19">
        <f>IF(BQ43&gt;0,BQ43,W43)</f>
        <v>6411000000</v>
      </c>
      <c r="CL43" s="20">
        <f>IF(BS43&gt;0,BS43,Y43)</f>
        <v>3163</v>
      </c>
      <c r="CM43" s="34">
        <f>IF(CG43&gt;0,CG43,AM43)</f>
        <v>211120</v>
      </c>
      <c r="CN43" s="80">
        <f>IF($BH43="",1,COUNTIF($BH$3:$BH43,$BH43))</f>
        <v>1</v>
      </c>
      <c r="CP43" t="str">
        <f>IF($K43="Standard Match","Match",IF($K43="Name Only Match",IF($CO43="Yes","Match","Name Only Match"),"No Match"))</f>
        <v>Match</v>
      </c>
      <c r="CQ43" s="35" t="str">
        <f>IF(AND(CP43="Match",CK43&gt;0,CL43&gt;0),"Y","N")</f>
        <v>Y</v>
      </c>
      <c r="CS43" t="str">
        <f>IF($CQ43="Y",VLOOKUP($CM43,'SBA Size Standards'!$B$3:$G$57,MATCH('SBA Size Standards'!$G$3,'SBA Size Standards'!$B$3:$G$3,0),FALSE),"")</f>
        <v>Employment</v>
      </c>
      <c r="CT43" s="60" t="str">
        <f>IF(CQ43="Y",IF($CS43="Employment","N/A",VLOOKUP($CM43,'SBA Size Standards'!$B$3:$G$57,MATCH('SBA Size Standards'!$E$3,'SBA Size Standards'!$B$3:$G$3,0),FALSE)),"")</f>
        <v>N/A</v>
      </c>
      <c r="CU43" s="86">
        <f>IF($CQ43="Y",IF($CS43="Revenue","N/A",VLOOKUP($CM43,'SBA Size Standards'!$B$3:$G$57,MATCH('SBA Size Standards'!$F$3,'SBA Size Standards'!$B$3:$G$3,0),FALSE)),"")</f>
        <v>1250</v>
      </c>
      <c r="CV43" t="str">
        <f>IF($CQ43="Y",IF(OR(AND($CS43="Employment",$CL43&lt;$CU43),AND($CS43="Revenue",$CK43&lt;$CT43)),"YES","NO"),"")</f>
        <v>NO</v>
      </c>
      <c r="CW43" s="90" t="str">
        <f>IF($CQ43="Y",INDEX('SBA Size Standards'!$N$3:$N$12,MATCH($CK43,'SBA Size Standards'!$O$3:$O$12,1)),"")</f>
        <v>$1,000,000,001 -$125,000,000,000</v>
      </c>
      <c r="CX43" s="122" t="s">
        <v>4539</v>
      </c>
      <c r="CY43" s="122">
        <f>INDEX('NM O&amp;G Production'!$P$3:$P$537,MATCH(CX43,'NM O&amp;G Production'!$Q$3:$Q$537,0))</f>
        <v>15</v>
      </c>
      <c r="CZ43" s="122" t="str">
        <f>INDEX('NM O&amp;G Production'!$K$3:$O$537,MATCH($CY43,'NM O&amp;G Production'!$P$3:$P$537,0),MATCH(CZ$2,'NM O&amp;G Production'!$K$2:$O$2,0))</f>
        <v>Yes</v>
      </c>
      <c r="DA43" s="127">
        <f>INDEX('NM O&amp;G Production'!$K$3:$O$537,MATCH($CY43,'NM O&amp;G Production'!$P$3:$P$537,0),MATCH(DA$2,'NM O&amp;G Production'!$K$2:$O$2,0))</f>
        <v>599</v>
      </c>
      <c r="DB43" s="127">
        <f>INDEX('NM O&amp;G Production'!$K$3:$O$537,MATCH($CY43,'NM O&amp;G Production'!$P$3:$P$537,0),MATCH(DB$2,'NM O&amp;G Production'!$K$2:$O$2,0))</f>
        <v>1737</v>
      </c>
      <c r="DC43" s="127">
        <f>DA43+DB43</f>
        <v>2336</v>
      </c>
      <c r="DD43" s="127">
        <f>INDEX('NM O&amp;G Production'!$K$3:$O$537,MATCH($CY43,'NM O&amp;G Production'!$P$3:$P$537,0),MATCH(DD$2,'NM O&amp;G Production'!$K$2:$O$2,0))</f>
        <v>51440989</v>
      </c>
      <c r="DE43" s="127">
        <f>INDEX('NM O&amp;G Production'!$K$3:$O$537,MATCH($CY43,'NM O&amp;G Production'!$P$3:$P$537,0),MATCH(DE$2,'NM O&amp;G Production'!$K$2:$O$2,0))</f>
        <v>11909376</v>
      </c>
      <c r="DF43" s="258">
        <f>CK43/(DB43+DA43)</f>
        <v>2744434.9315068494</v>
      </c>
      <c r="DG43" s="57">
        <f>DD43*(12/18)*1.06*'Oil and Gas Prices'!$C$18</f>
        <v>86880401.021733344</v>
      </c>
      <c r="DH43" s="284">
        <f>DE43*(12/18)*'Oil and Gas Prices'!$C$4</f>
        <v>357281280</v>
      </c>
      <c r="DI43" s="284">
        <f>DG43+DH43</f>
        <v>444161681.02173334</v>
      </c>
      <c r="DJ43" s="57">
        <f>(DG43+DH43)/(DA43+DB43)</f>
        <v>190137.70591683791</v>
      </c>
      <c r="DK43" s="318"/>
    </row>
    <row r="44" spans="1:115" x14ac:dyDescent="0.25">
      <c r="A44" t="s">
        <v>3342</v>
      </c>
      <c r="B44" t="s">
        <v>3343</v>
      </c>
      <c r="D44" t="s">
        <v>123</v>
      </c>
      <c r="E44" t="s">
        <v>84</v>
      </c>
      <c r="F44">
        <v>87401</v>
      </c>
      <c r="G44" t="s">
        <v>62</v>
      </c>
      <c r="I44">
        <v>495</v>
      </c>
      <c r="J44" t="s">
        <v>89</v>
      </c>
      <c r="K44" t="s">
        <v>4133</v>
      </c>
      <c r="L44" t="s">
        <v>113</v>
      </c>
      <c r="M44">
        <v>8</v>
      </c>
      <c r="N44" t="s">
        <v>3344</v>
      </c>
      <c r="O44" t="s">
        <v>3345</v>
      </c>
      <c r="P44" t="s">
        <v>3346</v>
      </c>
      <c r="Q44" t="s">
        <v>3343</v>
      </c>
      <c r="R44" t="s">
        <v>123</v>
      </c>
      <c r="S44" t="s">
        <v>214</v>
      </c>
      <c r="T44" t="s">
        <v>3347</v>
      </c>
      <c r="U44" t="s">
        <v>62</v>
      </c>
      <c r="V44">
        <v>5053251624</v>
      </c>
      <c r="X44">
        <v>50</v>
      </c>
      <c r="Y44">
        <v>0</v>
      </c>
      <c r="AA44" t="s">
        <v>96</v>
      </c>
      <c r="AB44" t="s">
        <v>3348</v>
      </c>
      <c r="AD44" t="s">
        <v>1320</v>
      </c>
      <c r="AE44">
        <v>2911</v>
      </c>
      <c r="AF44" t="s">
        <v>774</v>
      </c>
      <c r="AI44">
        <v>29110000</v>
      </c>
      <c r="AJ44" t="s">
        <v>1320</v>
      </c>
      <c r="AM44">
        <v>324110</v>
      </c>
      <c r="AN44" t="s">
        <v>776</v>
      </c>
      <c r="AQ44" t="s">
        <v>75</v>
      </c>
      <c r="AR44" t="s">
        <v>2056</v>
      </c>
      <c r="AS44" t="s">
        <v>2057</v>
      </c>
      <c r="AT44" t="s">
        <v>76</v>
      </c>
      <c r="AU44" t="s">
        <v>80</v>
      </c>
      <c r="AV44" t="s">
        <v>62</v>
      </c>
      <c r="AW44" t="s">
        <v>2056</v>
      </c>
      <c r="AX44" t="s">
        <v>2057</v>
      </c>
      <c r="AY44" t="s">
        <v>80</v>
      </c>
      <c r="AZ44" t="s">
        <v>62</v>
      </c>
      <c r="BB44" t="s">
        <v>3349</v>
      </c>
      <c r="BC44" t="s">
        <v>3345</v>
      </c>
      <c r="BD44" t="s">
        <v>80</v>
      </c>
      <c r="BE44" t="s">
        <v>62</v>
      </c>
      <c r="BF44">
        <v>2</v>
      </c>
      <c r="BG44">
        <v>237</v>
      </c>
      <c r="BH44" s="4" t="s">
        <v>2056</v>
      </c>
      <c r="BI44" s="4" t="s">
        <v>2057</v>
      </c>
      <c r="BJ44" s="4" t="s">
        <v>4188</v>
      </c>
      <c r="BK44" s="4" t="s">
        <v>2054</v>
      </c>
      <c r="BL44" s="4" t="s">
        <v>112</v>
      </c>
      <c r="BM44" s="4" t="s">
        <v>94</v>
      </c>
      <c r="BN44" s="4" t="s">
        <v>2055</v>
      </c>
      <c r="BO44" s="4" t="s">
        <v>62</v>
      </c>
      <c r="BP44" s="4">
        <v>7136296600</v>
      </c>
      <c r="BQ44" s="5">
        <v>5190000000</v>
      </c>
      <c r="BR44" s="6">
        <v>1300</v>
      </c>
      <c r="BS44" s="6">
        <v>2000</v>
      </c>
      <c r="BT44" s="4">
        <v>1887</v>
      </c>
      <c r="BU44" s="4" t="s">
        <v>163</v>
      </c>
      <c r="BV44" s="4" t="s">
        <v>4189</v>
      </c>
      <c r="BW44" s="4" t="s">
        <v>98</v>
      </c>
      <c r="BX44" s="4" t="s">
        <v>99</v>
      </c>
      <c r="BY44" s="4">
        <v>1311</v>
      </c>
      <c r="BZ44" s="4" t="s">
        <v>100</v>
      </c>
      <c r="CA44" s="4">
        <v>2911</v>
      </c>
      <c r="CB44" s="4" t="s">
        <v>774</v>
      </c>
      <c r="CC44" s="4">
        <v>13110000</v>
      </c>
      <c r="CD44" s="4" t="s">
        <v>276</v>
      </c>
      <c r="CE44" s="4">
        <v>29110000</v>
      </c>
      <c r="CF44" s="4" t="s">
        <v>1320</v>
      </c>
      <c r="CG44" s="4">
        <v>211120</v>
      </c>
      <c r="CH44" s="4" t="s">
        <v>104</v>
      </c>
      <c r="CI44" s="4">
        <v>324110</v>
      </c>
      <c r="CJ44" s="4" t="s">
        <v>776</v>
      </c>
      <c r="CK44" s="19">
        <f>IF(BQ44&gt;0,BQ44,W44)</f>
        <v>5190000000</v>
      </c>
      <c r="CL44" s="20">
        <f>IF(BS44&gt;0,BS44,Y44)</f>
        <v>2000</v>
      </c>
      <c r="CM44" s="34">
        <f>IF(CG44&gt;0,CG44,AM44)</f>
        <v>211120</v>
      </c>
      <c r="CN44" s="80">
        <f>IF($BH44="",1,COUNTIF($BH$3:$BH44,$BH44))</f>
        <v>1</v>
      </c>
      <c r="CP44" t="str">
        <f>IF($K44="Standard Match","Match",IF($K44="Name Only Match",IF($CO44="Yes","Match","Name Only Match"),"No Match"))</f>
        <v>Match</v>
      </c>
      <c r="CQ44" s="35" t="str">
        <f>IF(AND(CP44="Match",CK44&gt;0,CL44&gt;0),"Y","N")</f>
        <v>Y</v>
      </c>
      <c r="CS44" t="str">
        <f>IF($CQ44="Y",VLOOKUP($CM44,'SBA Size Standards'!$B$3:$G$57,MATCH('SBA Size Standards'!$G$3,'SBA Size Standards'!$B$3:$G$3,0),FALSE),"")</f>
        <v>Employment</v>
      </c>
      <c r="CT44" s="60" t="str">
        <f>IF(CQ44="Y",IF($CS44="Employment","N/A",VLOOKUP($CM44,'SBA Size Standards'!$B$3:$G$57,MATCH('SBA Size Standards'!$E$3,'SBA Size Standards'!$B$3:$G$3,0),FALSE)),"")</f>
        <v>N/A</v>
      </c>
      <c r="CU44" s="86">
        <f>IF($CQ44="Y",IF($CS44="Revenue","N/A",VLOOKUP($CM44,'SBA Size Standards'!$B$3:$G$57,MATCH('SBA Size Standards'!$F$3,'SBA Size Standards'!$B$3:$G$3,0),FALSE)),"")</f>
        <v>1250</v>
      </c>
      <c r="CV44" t="str">
        <f>IF($CQ44="Y",IF(OR(AND($CS44="Employment",$CL44&lt;$CU44),AND($CS44="Revenue",$CK44&lt;$CT44)),"YES","NO"),"")</f>
        <v>NO</v>
      </c>
      <c r="CW44" s="90" t="str">
        <f>IF($CQ44="Y",INDEX('SBA Size Standards'!$N$3:$N$12,MATCH($CK44,'SBA Size Standards'!$O$3:$O$12,1)),"")</f>
        <v>$1,000,000,001 -$125,000,000,000</v>
      </c>
      <c r="CX44" s="122" t="s">
        <v>4916</v>
      </c>
      <c r="CY44" s="122">
        <f>INDEX('NM O&amp;G Production'!$P$3:$P$537,MATCH(CX44,'NM O&amp;G Production'!$Q$3:$Q$537,0))</f>
        <v>495</v>
      </c>
      <c r="CZ44" s="122" t="str">
        <f>INDEX('NM O&amp;G Production'!$O$3:$O$537,MATCH(CY44,'NM O&amp;G Production'!$P$3:$P$537,0))</f>
        <v>No</v>
      </c>
      <c r="DA44" s="127">
        <f>INDEX('NM O&amp;G Production'!$K$3:$O$537,MATCH($CY44,'NM O&amp;G Production'!$P$3:$P$537,0),MATCH(DA$2,'NM O&amp;G Production'!$K$2:$O$2,0))</f>
        <v>0</v>
      </c>
      <c r="DB44" s="127">
        <f>INDEX('NM O&amp;G Production'!$K$3:$O$537,MATCH($CY44,'NM O&amp;G Production'!$P$3:$P$537,0),MATCH(DB$2,'NM O&amp;G Production'!$K$2:$O$2,0))</f>
        <v>0</v>
      </c>
      <c r="DC44" s="127"/>
      <c r="DD44" s="127">
        <f>INDEX('NM O&amp;G Production'!$K$3:$O$537,MATCH($CY44,'NM O&amp;G Production'!$P$3:$P$537,0),MATCH(DD$2,'NM O&amp;G Production'!$K$2:$O$2,0))</f>
        <v>0</v>
      </c>
      <c r="DE44" s="127">
        <f>INDEX('NM O&amp;G Production'!$K$3:$O$537,MATCH($CY44,'NM O&amp;G Production'!$P$3:$P$537,0),MATCH(DE$2,'NM O&amp;G Production'!$K$2:$O$2,0))</f>
        <v>0</v>
      </c>
      <c r="DF44" s="258" t="e">
        <f>CK44/(DB44+DA44)</f>
        <v>#DIV/0!</v>
      </c>
      <c r="DG44" s="57">
        <f>DD44*(12/18)*1.06*'Oil and Gas Prices'!$C$18</f>
        <v>0</v>
      </c>
      <c r="DH44" s="284">
        <f>DE44*(12/18)*'Oil and Gas Prices'!$C$4</f>
        <v>0</v>
      </c>
      <c r="DI44" s="284"/>
      <c r="DJ44" s="57" t="e">
        <f>(DG44+DH44)/(DA44+DB44)</f>
        <v>#DIV/0!</v>
      </c>
      <c r="DK44" s="18" t="e">
        <f>CK44/DI44</f>
        <v>#DIV/0!</v>
      </c>
    </row>
    <row r="45" spans="1:115" x14ac:dyDescent="0.25">
      <c r="A45" t="s">
        <v>2051</v>
      </c>
      <c r="B45" t="s">
        <v>2052</v>
      </c>
      <c r="D45" t="s">
        <v>112</v>
      </c>
      <c r="E45" t="s">
        <v>80</v>
      </c>
      <c r="F45">
        <v>77056</v>
      </c>
      <c r="G45" t="s">
        <v>62</v>
      </c>
      <c r="I45">
        <v>288</v>
      </c>
      <c r="J45" t="s">
        <v>63</v>
      </c>
      <c r="K45" t="s">
        <v>4133</v>
      </c>
      <c r="L45" t="s">
        <v>64</v>
      </c>
      <c r="M45">
        <v>10</v>
      </c>
      <c r="N45" t="s">
        <v>2053</v>
      </c>
      <c r="O45" t="s">
        <v>2051</v>
      </c>
      <c r="Q45" t="s">
        <v>2054</v>
      </c>
      <c r="R45" t="s">
        <v>112</v>
      </c>
      <c r="S45" t="s">
        <v>94</v>
      </c>
      <c r="T45" t="s">
        <v>2055</v>
      </c>
      <c r="U45" t="s">
        <v>62</v>
      </c>
      <c r="W45" s="1">
        <v>163313</v>
      </c>
      <c r="X45">
        <v>3</v>
      </c>
      <c r="Y45">
        <v>3</v>
      </c>
      <c r="Z45">
        <v>2019</v>
      </c>
      <c r="AA45" t="s">
        <v>70</v>
      </c>
      <c r="AD45" t="s">
        <v>253</v>
      </c>
      <c r="AE45">
        <v>5541</v>
      </c>
      <c r="AF45" t="s">
        <v>254</v>
      </c>
      <c r="AI45">
        <v>55410000</v>
      </c>
      <c r="AJ45" t="s">
        <v>253</v>
      </c>
      <c r="AM45">
        <v>447190</v>
      </c>
      <c r="AN45" t="s">
        <v>256</v>
      </c>
      <c r="AQ45" t="s">
        <v>168</v>
      </c>
      <c r="AR45" t="s">
        <v>2056</v>
      </c>
      <c r="AS45" t="s">
        <v>2057</v>
      </c>
      <c r="AT45" t="s">
        <v>76</v>
      </c>
      <c r="AU45" t="s">
        <v>80</v>
      </c>
      <c r="AV45" t="s">
        <v>62</v>
      </c>
      <c r="AW45" t="s">
        <v>2056</v>
      </c>
      <c r="AX45" t="s">
        <v>2057</v>
      </c>
      <c r="AY45" t="s">
        <v>80</v>
      </c>
      <c r="AZ45" t="s">
        <v>62</v>
      </c>
      <c r="BA45" t="s">
        <v>2056</v>
      </c>
      <c r="BC45" t="s">
        <v>2057</v>
      </c>
      <c r="BD45" t="s">
        <v>80</v>
      </c>
      <c r="BE45" t="s">
        <v>62</v>
      </c>
      <c r="BF45">
        <v>2</v>
      </c>
      <c r="BG45">
        <v>237</v>
      </c>
      <c r="BH45" s="4" t="s">
        <v>2056</v>
      </c>
      <c r="BI45" s="4" t="s">
        <v>2057</v>
      </c>
      <c r="BJ45" s="4" t="s">
        <v>4188</v>
      </c>
      <c r="BK45" s="4" t="s">
        <v>2054</v>
      </c>
      <c r="BL45" s="4" t="s">
        <v>112</v>
      </c>
      <c r="BM45" s="4" t="s">
        <v>94</v>
      </c>
      <c r="BN45" s="4" t="s">
        <v>2055</v>
      </c>
      <c r="BO45" s="4" t="s">
        <v>62</v>
      </c>
      <c r="BP45" s="4">
        <v>7136296600</v>
      </c>
      <c r="BQ45" s="5">
        <v>5190000000</v>
      </c>
      <c r="BR45" s="6">
        <v>1300</v>
      </c>
      <c r="BS45" s="6">
        <v>2000</v>
      </c>
      <c r="BT45" s="4">
        <v>1887</v>
      </c>
      <c r="BU45" s="4" t="s">
        <v>163</v>
      </c>
      <c r="BV45" s="4" t="s">
        <v>4189</v>
      </c>
      <c r="BW45" s="4" t="s">
        <v>98</v>
      </c>
      <c r="BX45" s="4" t="s">
        <v>99</v>
      </c>
      <c r="BY45" s="4">
        <v>1311</v>
      </c>
      <c r="BZ45" s="4" t="s">
        <v>100</v>
      </c>
      <c r="CA45" s="4">
        <v>2911</v>
      </c>
      <c r="CB45" s="4" t="s">
        <v>774</v>
      </c>
      <c r="CC45" s="4">
        <v>13110000</v>
      </c>
      <c r="CD45" s="4" t="s">
        <v>276</v>
      </c>
      <c r="CE45" s="4">
        <v>29110000</v>
      </c>
      <c r="CF45" s="4" t="s">
        <v>1320</v>
      </c>
      <c r="CG45" s="4">
        <v>211120</v>
      </c>
      <c r="CH45" s="4" t="s">
        <v>104</v>
      </c>
      <c r="CI45" s="4">
        <v>324110</v>
      </c>
      <c r="CJ45" s="4" t="s">
        <v>776</v>
      </c>
      <c r="CK45" s="19">
        <f>IF(BQ45&gt;0,BQ45,W45)</f>
        <v>5190000000</v>
      </c>
      <c r="CL45" s="20">
        <f>IF(BS45&gt;0,BS45,Y45)</f>
        <v>2000</v>
      </c>
      <c r="CM45" s="34">
        <f>IF(CG45&gt;0,CG45,AM45)</f>
        <v>211120</v>
      </c>
      <c r="CN45" s="80">
        <f>IF($BH45="",1,COUNTIF($BH$3:$BH45,$BH45))</f>
        <v>2</v>
      </c>
      <c r="CP45" t="str">
        <f>IF($K45="Standard Match","Match",IF($K45="Name Only Match",IF($CO45="Yes","Match","Name Only Match"),"No Match"))</f>
        <v>Match</v>
      </c>
      <c r="CQ45" s="35" t="str">
        <f>IF(AND(CP45="Match",CK45&gt;0,CL45&gt;0),"Y","N")</f>
        <v>Y</v>
      </c>
      <c r="CS45" t="str">
        <f>IF($CQ45="Y",VLOOKUP($CM45,'SBA Size Standards'!$B$3:$G$57,MATCH('SBA Size Standards'!$G$3,'SBA Size Standards'!$B$3:$G$3,0),FALSE),"")</f>
        <v>Employment</v>
      </c>
      <c r="CT45" s="60" t="str">
        <f>IF(CQ45="Y",IF($CS45="Employment","N/A",VLOOKUP($CM45,'SBA Size Standards'!$B$3:$G$57,MATCH('SBA Size Standards'!$E$3,'SBA Size Standards'!$B$3:$G$3,0),FALSE)),"")</f>
        <v>N/A</v>
      </c>
      <c r="CU45" s="86">
        <f>IF($CQ45="Y",IF($CS45="Revenue","N/A",VLOOKUP($CM45,'SBA Size Standards'!$B$3:$G$57,MATCH('SBA Size Standards'!$F$3,'SBA Size Standards'!$B$3:$G$3,0),FALSE)),"")</f>
        <v>1250</v>
      </c>
      <c r="CV45" t="str">
        <f>IF($CQ45="Y",IF(OR(AND($CS45="Employment",$CL45&lt;$CU45),AND($CS45="Revenue",$CK45&lt;$CT45)),"YES","NO"),"")</f>
        <v>NO</v>
      </c>
      <c r="CW45" s="90" t="str">
        <f>IF($CQ45="Y",INDEX('SBA Size Standards'!$N$3:$N$12,MATCH($CK45,'SBA Size Standards'!$O$3:$O$12,1)),"")</f>
        <v>$1,000,000,001 -$125,000,000,000</v>
      </c>
      <c r="CX45" s="122" t="s">
        <v>4669</v>
      </c>
      <c r="CY45" s="122">
        <f>INDEX('NM O&amp;G Production'!$P$3:$P$537,MATCH(CX45,'NM O&amp;G Production'!$Q$3:$Q$537,0))</f>
        <v>288</v>
      </c>
      <c r="CZ45" s="122" t="str">
        <f>INDEX('NM O&amp;G Production'!$O$3:$O$537,MATCH(CY45,'NM O&amp;G Production'!$P$3:$P$537,0))</f>
        <v>Yes</v>
      </c>
      <c r="DA45" s="127">
        <f>INDEX('NM O&amp;G Production'!$K$3:$O$537,MATCH($CY45,'NM O&amp;G Production'!$P$3:$P$537,0),MATCH(DA$2,'NM O&amp;G Production'!$K$2:$O$2,0))</f>
        <v>183</v>
      </c>
      <c r="DB45" s="127">
        <f>INDEX('NM O&amp;G Production'!$K$3:$O$537,MATCH($CY45,'NM O&amp;G Production'!$P$3:$P$537,0),MATCH(DB$2,'NM O&amp;G Production'!$K$2:$O$2,0))</f>
        <v>96</v>
      </c>
      <c r="DC45" s="127">
        <f>DA45+DB45</f>
        <v>279</v>
      </c>
      <c r="DD45" s="127">
        <f>INDEX('NM O&amp;G Production'!$K$3:$O$537,MATCH($CY45,'NM O&amp;G Production'!$P$3:$P$537,0),MATCH(DD$2,'NM O&amp;G Production'!$K$2:$O$2,0))</f>
        <v>39774691</v>
      </c>
      <c r="DE45" s="127">
        <f>INDEX('NM O&amp;G Production'!$K$3:$O$537,MATCH($CY45,'NM O&amp;G Production'!$P$3:$P$537,0),MATCH(DE$2,'NM O&amp;G Production'!$K$2:$O$2,0))</f>
        <v>9793899</v>
      </c>
      <c r="DF45" s="258">
        <f>CK45/(DB45+DA45)</f>
        <v>18602150.53763441</v>
      </c>
      <c r="DG45" s="57">
        <f>DD45*(12/18)*1.06*'Oil and Gas Prices'!$C$18</f>
        <v>67176801.452933326</v>
      </c>
      <c r="DH45" s="284">
        <f>DE45*(12/18)*'Oil and Gas Prices'!$C$4</f>
        <v>293816970</v>
      </c>
      <c r="DI45" s="284">
        <f>DG45+DH45</f>
        <v>360993771.45293331</v>
      </c>
      <c r="DJ45" s="57">
        <f>(DG45+DH45)/(DA45+DB45)</f>
        <v>1293884.4854943845</v>
      </c>
      <c r="DK45" s="318"/>
    </row>
    <row r="46" spans="1:115" x14ac:dyDescent="0.25">
      <c r="A46" s="21" t="s">
        <v>3090</v>
      </c>
      <c r="B46" s="21" t="s">
        <v>3091</v>
      </c>
      <c r="C46" s="21"/>
      <c r="D46" s="21" t="s">
        <v>60</v>
      </c>
      <c r="E46" s="21" t="s">
        <v>61</v>
      </c>
      <c r="F46">
        <v>80202</v>
      </c>
      <c r="G46" t="s">
        <v>62</v>
      </c>
      <c r="I46">
        <v>452</v>
      </c>
      <c r="J46" t="s">
        <v>89</v>
      </c>
      <c r="K46" t="s">
        <v>4134</v>
      </c>
      <c r="L46" t="s">
        <v>3627</v>
      </c>
      <c r="M46">
        <v>8</v>
      </c>
      <c r="N46" t="s">
        <v>3988</v>
      </c>
      <c r="O46" s="21" t="s">
        <v>3989</v>
      </c>
      <c r="P46" s="21"/>
      <c r="Q46" s="21" t="s">
        <v>3582</v>
      </c>
      <c r="R46" s="21" t="s">
        <v>183</v>
      </c>
      <c r="S46" s="21" t="s">
        <v>188</v>
      </c>
      <c r="T46" t="s">
        <v>3583</v>
      </c>
      <c r="U46" t="s">
        <v>62</v>
      </c>
      <c r="V46">
        <v>8559792012</v>
      </c>
      <c r="W46" s="23">
        <v>574744</v>
      </c>
      <c r="X46" s="21">
        <v>16</v>
      </c>
      <c r="Y46" s="21">
        <v>16</v>
      </c>
      <c r="Z46">
        <v>2012</v>
      </c>
      <c r="AA46" s="21" t="s">
        <v>70</v>
      </c>
      <c r="AD46" s="21" t="s">
        <v>119</v>
      </c>
      <c r="AE46">
        <v>1382</v>
      </c>
      <c r="AF46" t="s">
        <v>120</v>
      </c>
      <c r="AI46">
        <v>13820000</v>
      </c>
      <c r="AJ46" t="s">
        <v>119</v>
      </c>
      <c r="AM46" s="21">
        <v>213112</v>
      </c>
      <c r="AN46" s="21" t="s">
        <v>74</v>
      </c>
      <c r="AO46" s="21"/>
      <c r="AP46" s="21"/>
      <c r="AQ46" s="21" t="s">
        <v>168</v>
      </c>
      <c r="AR46" t="s">
        <v>925</v>
      </c>
      <c r="AS46" t="s">
        <v>926</v>
      </c>
      <c r="AT46" t="s">
        <v>76</v>
      </c>
      <c r="AU46" t="s">
        <v>184</v>
      </c>
      <c r="AV46" t="s">
        <v>62</v>
      </c>
      <c r="AW46" t="s">
        <v>925</v>
      </c>
      <c r="AX46" t="s">
        <v>926</v>
      </c>
      <c r="AY46" t="s">
        <v>184</v>
      </c>
      <c r="AZ46" t="s">
        <v>62</v>
      </c>
      <c r="BA46" t="s">
        <v>3585</v>
      </c>
      <c r="BC46" t="s">
        <v>3586</v>
      </c>
      <c r="BD46" t="s">
        <v>184</v>
      </c>
      <c r="BE46" t="s">
        <v>62</v>
      </c>
      <c r="BF46">
        <v>3</v>
      </c>
      <c r="BG46" s="24">
        <v>170</v>
      </c>
      <c r="BH46" s="24" t="s">
        <v>925</v>
      </c>
      <c r="BI46" s="24" t="s">
        <v>926</v>
      </c>
      <c r="BJ46" s="24" t="s">
        <v>4160</v>
      </c>
      <c r="BK46" s="24" t="s">
        <v>806</v>
      </c>
      <c r="BL46" s="24" t="s">
        <v>585</v>
      </c>
      <c r="BM46" s="24" t="s">
        <v>188</v>
      </c>
      <c r="BN46" s="24" t="s">
        <v>4161</v>
      </c>
      <c r="BO46" s="24" t="s">
        <v>62</v>
      </c>
      <c r="BP46" s="4">
        <v>4052353611</v>
      </c>
      <c r="BQ46" s="25">
        <v>4828000000</v>
      </c>
      <c r="BR46" s="24">
        <v>180</v>
      </c>
      <c r="BS46" s="26">
        <v>1800</v>
      </c>
      <c r="BT46" s="4">
        <v>1971</v>
      </c>
      <c r="BU46" s="24" t="s">
        <v>163</v>
      </c>
      <c r="BV46" s="4" t="s">
        <v>4162</v>
      </c>
      <c r="BW46" s="4" t="s">
        <v>98</v>
      </c>
      <c r="BX46" s="24" t="s">
        <v>99</v>
      </c>
      <c r="BY46" s="4">
        <v>1311</v>
      </c>
      <c r="BZ46" s="4" t="s">
        <v>100</v>
      </c>
      <c r="CA46" s="4">
        <v>1382</v>
      </c>
      <c r="CB46" s="4" t="s">
        <v>120</v>
      </c>
      <c r="CC46" s="4">
        <v>13110101</v>
      </c>
      <c r="CD46" s="4" t="s">
        <v>102</v>
      </c>
      <c r="CE46" s="4">
        <v>13820000</v>
      </c>
      <c r="CF46" s="4" t="s">
        <v>119</v>
      </c>
      <c r="CG46" s="24">
        <v>211120</v>
      </c>
      <c r="CH46" s="24" t="s">
        <v>104</v>
      </c>
      <c r="CI46" s="24">
        <v>213112</v>
      </c>
      <c r="CJ46" s="24" t="s">
        <v>74</v>
      </c>
      <c r="CK46" s="19">
        <f>IF(BQ46&gt;0,BQ46,W46)</f>
        <v>4828000000</v>
      </c>
      <c r="CL46" s="20">
        <f>IF(BS46&gt;0,BS46,Y46)</f>
        <v>1800</v>
      </c>
      <c r="CM46" s="34">
        <f>IF(CG46&gt;0,CG46,AM46)</f>
        <v>211120</v>
      </c>
      <c r="CN46" s="80">
        <f>IF($BH46="",1,COUNTIF($BH$3:$BH46,$BH46))</f>
        <v>1</v>
      </c>
      <c r="CO46" s="33" t="s">
        <v>4386</v>
      </c>
      <c r="CP46" t="str">
        <f>IF($K46="Standard Match","Match",IF($K46="Name Only Match",IF($CO46="Yes","Match","Name Only Match"),"No Match"))</f>
        <v>Match</v>
      </c>
      <c r="CQ46" s="35" t="str">
        <f>IF(AND(CP46="Match",CK46&gt;0,CL46&gt;0),"Y","N")</f>
        <v>Y</v>
      </c>
      <c r="CR46" s="21"/>
      <c r="CS46" t="str">
        <f>IF($CQ46="Y",VLOOKUP($CM46,'SBA Size Standards'!$B$3:$G$57,MATCH('SBA Size Standards'!$G$3,'SBA Size Standards'!$B$3:$G$3,0),FALSE),"")</f>
        <v>Employment</v>
      </c>
      <c r="CT46" s="60" t="str">
        <f>IF(CQ46="Y",IF($CS46="Employment","N/A",VLOOKUP($CM46,'SBA Size Standards'!$B$3:$G$57,MATCH('SBA Size Standards'!$E$3,'SBA Size Standards'!$B$3:$G$3,0),FALSE)),"")</f>
        <v>N/A</v>
      </c>
      <c r="CU46" s="86">
        <f>IF($CQ46="Y",IF($CS46="Revenue","N/A",VLOOKUP($CM46,'SBA Size Standards'!$B$3:$G$57,MATCH('SBA Size Standards'!$F$3,'SBA Size Standards'!$B$3:$G$3,0),FALSE)),"")</f>
        <v>1250</v>
      </c>
      <c r="CV46" t="str">
        <f>IF($CQ46="Y",IF(OR(AND($CS46="Employment",$CL46&lt;$CU46),AND($CS46="Revenue",$CK46&lt;$CT46)),"YES","NO"),"")</f>
        <v>NO</v>
      </c>
      <c r="CW46" s="90" t="str">
        <f>IF($CQ46="Y",INDEX('SBA Size Standards'!$N$3:$N$12,MATCH($CK46,'SBA Size Standards'!$O$3:$O$12,1)),"")</f>
        <v>$1,000,000,001 -$125,000,000,000</v>
      </c>
      <c r="CX46" s="122" t="s">
        <v>4996</v>
      </c>
      <c r="CY46" s="122">
        <f>INDEX('NM O&amp;G Production'!$P$3:$P$537,MATCH(CX46,'NM O&amp;G Production'!$Q$3:$Q$537,0))</f>
        <v>452</v>
      </c>
      <c r="CZ46" s="122" t="str">
        <f>INDEX('NM O&amp;G Production'!$O$3:$O$537,MATCH(CY46,'NM O&amp;G Production'!$P$3:$P$537,0))</f>
        <v>No</v>
      </c>
      <c r="DA46" s="127">
        <f>INDEX('NM O&amp;G Production'!$K$3:$O$537,MATCH($CY46,'NM O&amp;G Production'!$P$3:$P$537,0),MATCH(DA$2,'NM O&amp;G Production'!$K$2:$O$2,0))</f>
        <v>0</v>
      </c>
      <c r="DB46" s="127">
        <f>INDEX('NM O&amp;G Production'!$K$3:$O$537,MATCH($CY46,'NM O&amp;G Production'!$P$3:$P$537,0),MATCH(DB$2,'NM O&amp;G Production'!$K$2:$O$2,0))</f>
        <v>0</v>
      </c>
      <c r="DC46" s="127"/>
      <c r="DD46" s="127">
        <f>INDEX('NM O&amp;G Production'!$K$3:$O$537,MATCH($CY46,'NM O&amp;G Production'!$P$3:$P$537,0),MATCH(DD$2,'NM O&amp;G Production'!$K$2:$O$2,0))</f>
        <v>0</v>
      </c>
      <c r="DE46" s="127">
        <f>INDEX('NM O&amp;G Production'!$K$3:$O$537,MATCH($CY46,'NM O&amp;G Production'!$P$3:$P$537,0),MATCH(DE$2,'NM O&amp;G Production'!$K$2:$O$2,0))</f>
        <v>0</v>
      </c>
      <c r="DF46" s="258" t="e">
        <f>CK46/(DB46+DA46)</f>
        <v>#DIV/0!</v>
      </c>
      <c r="DG46" s="57">
        <f>DD46*(12/18)*1.06*'Oil and Gas Prices'!$C$18</f>
        <v>0</v>
      </c>
      <c r="DH46" s="284">
        <f>DE46*(12/18)*'Oil and Gas Prices'!$C$4</f>
        <v>0</v>
      </c>
      <c r="DI46" s="284"/>
      <c r="DJ46" s="57" t="e">
        <f>(DG46+DH46)/(DA46+DB46)</f>
        <v>#DIV/0!</v>
      </c>
      <c r="DK46" s="18" t="e">
        <f>CK46/DI46</f>
        <v>#DIV/0!</v>
      </c>
    </row>
    <row r="47" spans="1:115" x14ac:dyDescent="0.25">
      <c r="A47" t="s">
        <v>918</v>
      </c>
      <c r="B47" t="s">
        <v>919</v>
      </c>
      <c r="D47" t="s">
        <v>585</v>
      </c>
      <c r="E47" t="s">
        <v>184</v>
      </c>
      <c r="F47">
        <v>73102</v>
      </c>
      <c r="G47" t="s">
        <v>62</v>
      </c>
      <c r="I47">
        <v>118</v>
      </c>
      <c r="J47" t="s">
        <v>63</v>
      </c>
      <c r="K47" t="s">
        <v>4133</v>
      </c>
      <c r="L47" t="s">
        <v>64</v>
      </c>
      <c r="M47">
        <v>10</v>
      </c>
      <c r="N47" t="s">
        <v>920</v>
      </c>
      <c r="O47" t="s">
        <v>921</v>
      </c>
      <c r="Q47" t="s">
        <v>806</v>
      </c>
      <c r="R47" t="s">
        <v>585</v>
      </c>
      <c r="S47" t="s">
        <v>188</v>
      </c>
      <c r="T47" t="s">
        <v>807</v>
      </c>
      <c r="U47" t="s">
        <v>62</v>
      </c>
      <c r="V47">
        <v>4052353611</v>
      </c>
      <c r="W47" s="1">
        <v>2536000000</v>
      </c>
      <c r="X47" s="2">
        <v>1300</v>
      </c>
      <c r="Y47" s="2">
        <v>1800</v>
      </c>
      <c r="Z47">
        <v>1999</v>
      </c>
      <c r="AA47" t="s">
        <v>163</v>
      </c>
      <c r="AB47" t="s">
        <v>922</v>
      </c>
      <c r="AC47" t="s">
        <v>923</v>
      </c>
      <c r="AD47" t="s">
        <v>99</v>
      </c>
      <c r="AE47">
        <v>1311</v>
      </c>
      <c r="AF47" t="s">
        <v>100</v>
      </c>
      <c r="AG47">
        <v>5172</v>
      </c>
      <c r="AH47" t="s">
        <v>826</v>
      </c>
      <c r="AI47">
        <v>13110101</v>
      </c>
      <c r="AJ47" t="s">
        <v>102</v>
      </c>
      <c r="AK47">
        <v>51729901</v>
      </c>
      <c r="AL47" t="s">
        <v>924</v>
      </c>
      <c r="AM47">
        <v>211120</v>
      </c>
      <c r="AN47" t="s">
        <v>104</v>
      </c>
      <c r="AO47">
        <v>424720</v>
      </c>
      <c r="AP47" t="s">
        <v>827</v>
      </c>
      <c r="AQ47" t="s">
        <v>168</v>
      </c>
      <c r="AR47" t="s">
        <v>925</v>
      </c>
      <c r="AS47" t="s">
        <v>926</v>
      </c>
      <c r="AT47" t="s">
        <v>76</v>
      </c>
      <c r="AU47" t="s">
        <v>184</v>
      </c>
      <c r="AV47" t="s">
        <v>62</v>
      </c>
      <c r="AW47" t="s">
        <v>925</v>
      </c>
      <c r="AX47" t="s">
        <v>926</v>
      </c>
      <c r="AY47" t="s">
        <v>184</v>
      </c>
      <c r="AZ47" t="s">
        <v>62</v>
      </c>
      <c r="BA47" t="s">
        <v>925</v>
      </c>
      <c r="BC47" t="s">
        <v>926</v>
      </c>
      <c r="BD47" t="s">
        <v>184</v>
      </c>
      <c r="BE47" t="s">
        <v>62</v>
      </c>
      <c r="BF47">
        <v>2</v>
      </c>
      <c r="BG47">
        <v>170</v>
      </c>
      <c r="BH47" s="4" t="s">
        <v>925</v>
      </c>
      <c r="BI47" s="4" t="s">
        <v>926</v>
      </c>
      <c r="BJ47" s="4" t="s">
        <v>4160</v>
      </c>
      <c r="BK47" s="4" t="s">
        <v>806</v>
      </c>
      <c r="BL47" s="4" t="s">
        <v>585</v>
      </c>
      <c r="BM47" s="4" t="s">
        <v>188</v>
      </c>
      <c r="BN47" s="4" t="s">
        <v>4161</v>
      </c>
      <c r="BO47" s="4" t="s">
        <v>62</v>
      </c>
      <c r="BP47" s="4">
        <v>4052353611</v>
      </c>
      <c r="BQ47" s="5">
        <v>4828000000</v>
      </c>
      <c r="BR47" s="4">
        <v>180</v>
      </c>
      <c r="BS47" s="6">
        <v>1800</v>
      </c>
      <c r="BT47" s="4">
        <v>1971</v>
      </c>
      <c r="BU47" s="4" t="s">
        <v>163</v>
      </c>
      <c r="BV47" s="4" t="s">
        <v>4162</v>
      </c>
      <c r="BW47" s="4" t="s">
        <v>98</v>
      </c>
      <c r="BX47" s="4" t="s">
        <v>99</v>
      </c>
      <c r="BY47" s="4">
        <v>1311</v>
      </c>
      <c r="BZ47" s="4" t="s">
        <v>100</v>
      </c>
      <c r="CA47" s="4">
        <v>1382</v>
      </c>
      <c r="CB47" s="4" t="s">
        <v>120</v>
      </c>
      <c r="CC47" s="4">
        <v>13110101</v>
      </c>
      <c r="CD47" s="4" t="s">
        <v>102</v>
      </c>
      <c r="CE47" s="4">
        <v>13820000</v>
      </c>
      <c r="CF47" s="4" t="s">
        <v>119</v>
      </c>
      <c r="CG47" s="4">
        <v>211120</v>
      </c>
      <c r="CH47" s="4" t="s">
        <v>104</v>
      </c>
      <c r="CI47" s="4">
        <v>213112</v>
      </c>
      <c r="CJ47" s="4" t="s">
        <v>74</v>
      </c>
      <c r="CK47" s="19">
        <f>IF(BQ47&gt;0,BQ47,W47)</f>
        <v>4828000000</v>
      </c>
      <c r="CL47" s="20">
        <f>IF(BS47&gt;0,BS47,Y47)</f>
        <v>1800</v>
      </c>
      <c r="CM47" s="34">
        <f>IF(CG47&gt;0,CG47,AM47)</f>
        <v>211120</v>
      </c>
      <c r="CN47" s="80">
        <f>IF($BH47="",1,COUNTIF($BH$3:$BH47,$BH47))</f>
        <v>2</v>
      </c>
      <c r="CP47" t="str">
        <f>IF($K47="Standard Match","Match",IF($K47="Name Only Match",IF($CO47="Yes","Match","Name Only Match"),"No Match"))</f>
        <v>Match</v>
      </c>
      <c r="CQ47" s="35" t="str">
        <f>IF(AND(CP47="Match",CK47&gt;0,CL47&gt;0),"Y","N")</f>
        <v>Y</v>
      </c>
      <c r="CS47" t="str">
        <f>IF($CQ47="Y",VLOOKUP($CM47,'SBA Size Standards'!$B$3:$G$57,MATCH('SBA Size Standards'!$G$3,'SBA Size Standards'!$B$3:$G$3,0),FALSE),"")</f>
        <v>Employment</v>
      </c>
      <c r="CT47" s="60" t="str">
        <f>IF(CQ47="Y",IF($CS47="Employment","N/A",VLOOKUP($CM47,'SBA Size Standards'!$B$3:$G$57,MATCH('SBA Size Standards'!$E$3,'SBA Size Standards'!$B$3:$G$3,0),FALSE)),"")</f>
        <v>N/A</v>
      </c>
      <c r="CU47" s="86">
        <f>IF($CQ47="Y",IF($CS47="Revenue","N/A",VLOOKUP($CM47,'SBA Size Standards'!$B$3:$G$57,MATCH('SBA Size Standards'!$F$3,'SBA Size Standards'!$B$3:$G$3,0),FALSE)),"")</f>
        <v>1250</v>
      </c>
      <c r="CV47" t="str">
        <f>IF($CQ47="Y",IF(OR(AND($CS47="Employment",$CL47&lt;$CU47),AND($CS47="Revenue",$CK47&lt;$CT47)),"YES","NO"),"")</f>
        <v>NO</v>
      </c>
      <c r="CW47" s="90" t="str">
        <f>IF($CQ47="Y",INDEX('SBA Size Standards'!$N$3:$N$12,MATCH($CK47,'SBA Size Standards'!$O$3:$O$12,1)),"")</f>
        <v>$1,000,000,001 -$125,000,000,000</v>
      </c>
      <c r="CX47" s="122" t="s">
        <v>4586</v>
      </c>
      <c r="CY47" s="122">
        <f>INDEX('NM O&amp;G Production'!$P$3:$P$537,MATCH(CX47,'NM O&amp;G Production'!$Q$3:$Q$537,0))</f>
        <v>118</v>
      </c>
      <c r="CZ47" s="122" t="str">
        <f>INDEX('NM O&amp;G Production'!$O$3:$O$537,MATCH(CY47,'NM O&amp;G Production'!$P$3:$P$537,0))</f>
        <v>Yes</v>
      </c>
      <c r="DA47" s="127">
        <f>INDEX('NM O&amp;G Production'!$K$3:$O$537,MATCH($CY47,'NM O&amp;G Production'!$P$3:$P$537,0),MATCH(DA$2,'NM O&amp;G Production'!$K$2:$O$2,0))</f>
        <v>844</v>
      </c>
      <c r="DB47" s="127">
        <f>INDEX('NM O&amp;G Production'!$K$3:$O$537,MATCH($CY47,'NM O&amp;G Production'!$P$3:$P$537,0),MATCH(DB$2,'NM O&amp;G Production'!$K$2:$O$2,0))</f>
        <v>392</v>
      </c>
      <c r="DC47" s="127">
        <f>DA47+DB47</f>
        <v>1236</v>
      </c>
      <c r="DD47" s="127">
        <f>INDEX('NM O&amp;G Production'!$K$3:$O$537,MATCH($CY47,'NM O&amp;G Production'!$P$3:$P$537,0),MATCH(DD$2,'NM O&amp;G Production'!$K$2:$O$2,0))</f>
        <v>191597016</v>
      </c>
      <c r="DE47" s="127">
        <f>INDEX('NM O&amp;G Production'!$K$3:$O$537,MATCH($CY47,'NM O&amp;G Production'!$P$3:$P$537,0),MATCH(DE$2,'NM O&amp;G Production'!$K$2:$O$2,0))</f>
        <v>50174674</v>
      </c>
      <c r="DF47" s="258">
        <f>CK47/(DB47+DA47)</f>
        <v>3906148.8673139159</v>
      </c>
      <c r="DG47" s="57">
        <f>DD47*(12/18)*1.06*'Oil and Gas Prices'!$C$18</f>
        <v>323594586.88960004</v>
      </c>
      <c r="DH47" s="284">
        <f>DE47*(12/18)*'Oil and Gas Prices'!$C$4</f>
        <v>1505240220</v>
      </c>
      <c r="DI47" s="284">
        <f>DG47+DH47</f>
        <v>1828834806.8896</v>
      </c>
      <c r="DJ47" s="57">
        <f>(DG47+DH47)/(DA47+DB47)</f>
        <v>1479639.8113993527</v>
      </c>
      <c r="DK47" s="318"/>
    </row>
    <row r="48" spans="1:115" x14ac:dyDescent="0.25">
      <c r="A48" t="s">
        <v>3578</v>
      </c>
      <c r="B48" t="s">
        <v>3579</v>
      </c>
      <c r="D48" t="s">
        <v>183</v>
      </c>
      <c r="E48" t="s">
        <v>184</v>
      </c>
      <c r="F48">
        <v>74172</v>
      </c>
      <c r="G48" t="s">
        <v>62</v>
      </c>
      <c r="I48">
        <v>528</v>
      </c>
      <c r="J48" t="s">
        <v>63</v>
      </c>
      <c r="K48" t="s">
        <v>4133</v>
      </c>
      <c r="L48" t="s">
        <v>1038</v>
      </c>
      <c r="M48">
        <v>9</v>
      </c>
      <c r="N48" t="s">
        <v>3580</v>
      </c>
      <c r="O48" t="s">
        <v>3581</v>
      </c>
      <c r="Q48" t="s">
        <v>3582</v>
      </c>
      <c r="R48" t="s">
        <v>183</v>
      </c>
      <c r="S48" t="s">
        <v>188</v>
      </c>
      <c r="T48" t="s">
        <v>3583</v>
      </c>
      <c r="U48" t="s">
        <v>62</v>
      </c>
      <c r="V48">
        <v>8559792102</v>
      </c>
      <c r="W48" s="1">
        <v>37437314</v>
      </c>
      <c r="X48">
        <v>38</v>
      </c>
      <c r="Y48">
        <v>38</v>
      </c>
      <c r="Z48">
        <v>2005</v>
      </c>
      <c r="AA48" t="s">
        <v>70</v>
      </c>
      <c r="AB48" t="s">
        <v>3584</v>
      </c>
      <c r="AC48" t="s">
        <v>98</v>
      </c>
      <c r="AD48" t="s">
        <v>119</v>
      </c>
      <c r="AE48">
        <v>1382</v>
      </c>
      <c r="AF48" t="s">
        <v>120</v>
      </c>
      <c r="AI48">
        <v>13820000</v>
      </c>
      <c r="AJ48" t="s">
        <v>119</v>
      </c>
      <c r="AM48">
        <v>213112</v>
      </c>
      <c r="AN48" t="s">
        <v>74</v>
      </c>
      <c r="AQ48" t="s">
        <v>168</v>
      </c>
      <c r="AR48" t="s">
        <v>925</v>
      </c>
      <c r="AS48" t="s">
        <v>926</v>
      </c>
      <c r="AT48" t="s">
        <v>76</v>
      </c>
      <c r="AU48" t="s">
        <v>184</v>
      </c>
      <c r="AV48" t="s">
        <v>62</v>
      </c>
      <c r="AW48" t="s">
        <v>925</v>
      </c>
      <c r="AX48" t="s">
        <v>926</v>
      </c>
      <c r="AY48" t="s">
        <v>184</v>
      </c>
      <c r="AZ48" t="s">
        <v>62</v>
      </c>
      <c r="BA48" t="s">
        <v>3585</v>
      </c>
      <c r="BC48" t="s">
        <v>3586</v>
      </c>
      <c r="BD48" t="s">
        <v>184</v>
      </c>
      <c r="BE48" t="s">
        <v>62</v>
      </c>
      <c r="BF48">
        <v>3</v>
      </c>
      <c r="BG48">
        <v>170</v>
      </c>
      <c r="BH48" s="4" t="s">
        <v>925</v>
      </c>
      <c r="BI48" s="4" t="s">
        <v>926</v>
      </c>
      <c r="BJ48" s="4" t="s">
        <v>4160</v>
      </c>
      <c r="BK48" s="4" t="s">
        <v>806</v>
      </c>
      <c r="BL48" s="4" t="s">
        <v>585</v>
      </c>
      <c r="BM48" s="4" t="s">
        <v>188</v>
      </c>
      <c r="BN48" s="4" t="s">
        <v>4161</v>
      </c>
      <c r="BO48" s="4" t="s">
        <v>62</v>
      </c>
      <c r="BP48" s="4">
        <v>4052353611</v>
      </c>
      <c r="BQ48" s="5">
        <v>4828000000</v>
      </c>
      <c r="BR48" s="4">
        <v>180</v>
      </c>
      <c r="BS48" s="6">
        <v>1800</v>
      </c>
      <c r="BT48" s="4">
        <v>1971</v>
      </c>
      <c r="BU48" s="4" t="s">
        <v>163</v>
      </c>
      <c r="BV48" s="4" t="s">
        <v>4162</v>
      </c>
      <c r="BW48" s="4" t="s">
        <v>98</v>
      </c>
      <c r="BX48" s="4" t="s">
        <v>99</v>
      </c>
      <c r="BY48" s="4">
        <v>1311</v>
      </c>
      <c r="BZ48" s="4" t="s">
        <v>100</v>
      </c>
      <c r="CA48" s="4">
        <v>1382</v>
      </c>
      <c r="CB48" s="4" t="s">
        <v>120</v>
      </c>
      <c r="CC48" s="4">
        <v>13110101</v>
      </c>
      <c r="CD48" s="4" t="s">
        <v>102</v>
      </c>
      <c r="CE48" s="4">
        <v>13820000</v>
      </c>
      <c r="CF48" s="4" t="s">
        <v>119</v>
      </c>
      <c r="CG48" s="4">
        <v>211120</v>
      </c>
      <c r="CH48" s="4" t="s">
        <v>104</v>
      </c>
      <c r="CI48" s="4">
        <v>213112</v>
      </c>
      <c r="CJ48" s="4" t="s">
        <v>74</v>
      </c>
      <c r="CK48" s="19">
        <f>IF(BQ48&gt;0,BQ48,W48)</f>
        <v>4828000000</v>
      </c>
      <c r="CL48" s="20">
        <f>IF(BS48&gt;0,BS48,Y48)</f>
        <v>1800</v>
      </c>
      <c r="CM48" s="34">
        <f>IF(CG48&gt;0,CG48,AM48)</f>
        <v>211120</v>
      </c>
      <c r="CN48" s="80">
        <f>IF($BH48="",1,COUNTIF($BH$3:$BH48,$BH48))</f>
        <v>3</v>
      </c>
      <c r="CP48" t="str">
        <f>IF($K48="Standard Match","Match",IF($K48="Name Only Match",IF($CO48="Yes","Match","Name Only Match"),"No Match"))</f>
        <v>Match</v>
      </c>
      <c r="CQ48" s="35" t="str">
        <f>IF(AND(CP48="Match",CK48&gt;0,CL48&gt;0),"Y","N")</f>
        <v>Y</v>
      </c>
      <c r="CS48" t="str">
        <f>IF($CQ48="Y",VLOOKUP($CM48,'SBA Size Standards'!$B$3:$G$57,MATCH('SBA Size Standards'!$G$3,'SBA Size Standards'!$B$3:$G$3,0),FALSE),"")</f>
        <v>Employment</v>
      </c>
      <c r="CT48" s="60" t="str">
        <f>IF(CQ48="Y",IF($CS48="Employment","N/A",VLOOKUP($CM48,'SBA Size Standards'!$B$3:$G$57,MATCH('SBA Size Standards'!$E$3,'SBA Size Standards'!$B$3:$G$3,0),FALSE)),"")</f>
        <v>N/A</v>
      </c>
      <c r="CU48" s="86">
        <f>IF($CQ48="Y",IF($CS48="Revenue","N/A",VLOOKUP($CM48,'SBA Size Standards'!$B$3:$G$57,MATCH('SBA Size Standards'!$F$3,'SBA Size Standards'!$B$3:$G$3,0),FALSE)),"")</f>
        <v>1250</v>
      </c>
      <c r="CV48" t="str">
        <f>IF($CQ48="Y",IF(OR(AND($CS48="Employment",$CL48&lt;$CU48),AND($CS48="Revenue",$CK48&lt;$CT48)),"YES","NO"),"")</f>
        <v>NO</v>
      </c>
      <c r="CW48" s="90" t="str">
        <f>IF($CQ48="Y",INDEX('SBA Size Standards'!$N$3:$N$12,MATCH($CK48,'SBA Size Standards'!$O$3:$O$12,1)),"")</f>
        <v>$1,000,000,001 -$125,000,000,000</v>
      </c>
      <c r="CX48" s="122" t="s">
        <v>4798</v>
      </c>
      <c r="CY48" s="122">
        <f>INDEX('NM O&amp;G Production'!$P$3:$P$537,MATCH(CX48,'NM O&amp;G Production'!$Q$3:$Q$537,0))</f>
        <v>528</v>
      </c>
      <c r="CZ48" s="122" t="str">
        <f>INDEX('NM O&amp;G Production'!$O$3:$O$537,MATCH(CY48,'NM O&amp;G Production'!$P$3:$P$537,0))</f>
        <v>Yes</v>
      </c>
      <c r="DA48" s="127">
        <f>INDEX('NM O&amp;G Production'!$K$3:$O$537,MATCH($CY48,'NM O&amp;G Production'!$P$3:$P$537,0),MATCH(DA$2,'NM O&amp;G Production'!$K$2:$O$2,0))</f>
        <v>147</v>
      </c>
      <c r="DB48" s="127">
        <f>INDEX('NM O&amp;G Production'!$K$3:$O$537,MATCH($CY48,'NM O&amp;G Production'!$P$3:$P$537,0),MATCH(DB$2,'NM O&amp;G Production'!$K$2:$O$2,0))</f>
        <v>125</v>
      </c>
      <c r="DC48" s="127">
        <f>DA48+DB48</f>
        <v>272</v>
      </c>
      <c r="DD48" s="127">
        <f>INDEX('NM O&amp;G Production'!$K$3:$O$537,MATCH($CY48,'NM O&amp;G Production'!$P$3:$P$537,0),MATCH(DD$2,'NM O&amp;G Production'!$K$2:$O$2,0))</f>
        <v>21510113</v>
      </c>
      <c r="DE48" s="127">
        <f>INDEX('NM O&amp;G Production'!$K$3:$O$537,MATCH($CY48,'NM O&amp;G Production'!$P$3:$P$537,0),MATCH(DE$2,'NM O&amp;G Production'!$K$2:$O$2,0))</f>
        <v>3905038</v>
      </c>
      <c r="DF48" s="258">
        <f>CK48/(DB48+DA48)</f>
        <v>17750000</v>
      </c>
      <c r="DG48" s="57">
        <f>DD48*(12/18)*1.06*'Oil and Gas Prices'!$C$18</f>
        <v>36329146.849466667</v>
      </c>
      <c r="DH48" s="284">
        <f>DE48*(12/18)*'Oil and Gas Prices'!$C$4</f>
        <v>117151140</v>
      </c>
      <c r="DI48" s="284">
        <f>DG48+DH48</f>
        <v>153480286.84946668</v>
      </c>
      <c r="DJ48" s="57">
        <f>(DG48+DH48)/(DA48+DB48)</f>
        <v>564265.76047598047</v>
      </c>
      <c r="DK48" s="318"/>
    </row>
    <row r="49" spans="1:115" x14ac:dyDescent="0.25">
      <c r="A49" t="s">
        <v>2327</v>
      </c>
      <c r="B49" t="s">
        <v>2328</v>
      </c>
      <c r="D49" t="s">
        <v>1073</v>
      </c>
      <c r="E49" t="s">
        <v>84</v>
      </c>
      <c r="F49">
        <v>87199</v>
      </c>
      <c r="G49" t="s">
        <v>62</v>
      </c>
      <c r="I49">
        <v>330</v>
      </c>
      <c r="J49" t="s">
        <v>63</v>
      </c>
      <c r="K49" t="s">
        <v>4133</v>
      </c>
      <c r="L49" t="s">
        <v>419</v>
      </c>
      <c r="M49">
        <v>8</v>
      </c>
      <c r="N49" t="s">
        <v>2329</v>
      </c>
      <c r="O49" t="s">
        <v>2330</v>
      </c>
      <c r="Q49" t="s">
        <v>2331</v>
      </c>
      <c r="R49" t="s">
        <v>1073</v>
      </c>
      <c r="S49" t="s">
        <v>214</v>
      </c>
      <c r="T49" t="s">
        <v>2332</v>
      </c>
      <c r="U49" t="s">
        <v>62</v>
      </c>
      <c r="V49">
        <v>5056973803</v>
      </c>
      <c r="W49" s="1">
        <v>454716539</v>
      </c>
      <c r="X49">
        <v>97</v>
      </c>
      <c r="Y49">
        <v>729</v>
      </c>
      <c r="Z49">
        <v>2008</v>
      </c>
      <c r="AA49" t="s">
        <v>163</v>
      </c>
      <c r="AB49" t="s">
        <v>2333</v>
      </c>
      <c r="AC49" t="s">
        <v>98</v>
      </c>
      <c r="AD49" t="s">
        <v>167</v>
      </c>
      <c r="AE49">
        <v>4924</v>
      </c>
      <c r="AF49" t="s">
        <v>166</v>
      </c>
      <c r="AG49">
        <v>4922</v>
      </c>
      <c r="AH49" t="s">
        <v>1028</v>
      </c>
      <c r="AI49">
        <v>49240000</v>
      </c>
      <c r="AJ49" t="s">
        <v>167</v>
      </c>
      <c r="AK49">
        <v>49229901</v>
      </c>
      <c r="AL49" t="s">
        <v>1108</v>
      </c>
      <c r="AM49">
        <v>221210</v>
      </c>
      <c r="AN49" t="s">
        <v>166</v>
      </c>
      <c r="AO49">
        <v>486210</v>
      </c>
      <c r="AP49" t="s">
        <v>1029</v>
      </c>
      <c r="AQ49" t="s">
        <v>168</v>
      </c>
      <c r="AR49" t="s">
        <v>2334</v>
      </c>
      <c r="AS49" t="s">
        <v>2335</v>
      </c>
      <c r="AT49" t="s">
        <v>76</v>
      </c>
      <c r="AU49" t="s">
        <v>2336</v>
      </c>
      <c r="AV49" t="s">
        <v>2337</v>
      </c>
      <c r="AW49" t="s">
        <v>2338</v>
      </c>
      <c r="AX49" t="s">
        <v>2339</v>
      </c>
      <c r="AY49" t="s">
        <v>973</v>
      </c>
      <c r="AZ49" t="s">
        <v>62</v>
      </c>
      <c r="BA49" t="s">
        <v>2340</v>
      </c>
      <c r="BC49" t="s">
        <v>2341</v>
      </c>
      <c r="BD49" t="s">
        <v>84</v>
      </c>
      <c r="BE49" t="s">
        <v>2337</v>
      </c>
      <c r="BF49">
        <v>4</v>
      </c>
      <c r="BG49">
        <v>134</v>
      </c>
      <c r="BH49" s="4" t="s">
        <v>2334</v>
      </c>
      <c r="BI49" s="4" t="s">
        <v>2335</v>
      </c>
      <c r="BK49" s="4" t="s">
        <v>4286</v>
      </c>
      <c r="BL49" s="4" t="s">
        <v>4287</v>
      </c>
      <c r="BM49" s="4" t="s">
        <v>4288</v>
      </c>
      <c r="BN49" s="4" t="s">
        <v>4289</v>
      </c>
      <c r="BO49" s="4" t="s">
        <v>2337</v>
      </c>
      <c r="BP49" s="4">
        <v>9024500507</v>
      </c>
      <c r="BQ49" s="5">
        <v>4589513775</v>
      </c>
      <c r="BR49" s="4">
        <v>20</v>
      </c>
      <c r="BS49" s="6">
        <v>7418</v>
      </c>
      <c r="BT49" s="4">
        <v>1998</v>
      </c>
      <c r="BU49" s="4" t="s">
        <v>163</v>
      </c>
      <c r="BV49" s="4" t="s">
        <v>4290</v>
      </c>
      <c r="BW49" s="4" t="s">
        <v>98</v>
      </c>
      <c r="BX49" s="4" t="s">
        <v>1235</v>
      </c>
      <c r="BY49" s="4">
        <v>4911</v>
      </c>
      <c r="BZ49" s="4" t="s">
        <v>1236</v>
      </c>
      <c r="CC49" s="4">
        <v>49110000</v>
      </c>
      <c r="CD49" s="4" t="s">
        <v>1237</v>
      </c>
      <c r="CG49" s="4">
        <v>221118</v>
      </c>
      <c r="CH49" s="4" t="s">
        <v>1238</v>
      </c>
      <c r="CK49" s="19">
        <f>IF(BQ49&gt;0,BQ49,W49)</f>
        <v>4589513775</v>
      </c>
      <c r="CL49" s="20">
        <f>IF(BS49&gt;0,BS49,Y49)</f>
        <v>7418</v>
      </c>
      <c r="CM49" s="34">
        <f>IF(CG49&gt;0,CG49,AM49)</f>
        <v>221118</v>
      </c>
      <c r="CN49" s="80">
        <f>IF($BH49="",1,COUNTIF($BH$3:$BH49,$BH49))</f>
        <v>1</v>
      </c>
      <c r="CP49" t="str">
        <f>IF($K49="Standard Match","Match",IF($K49="Name Only Match",IF($CO49="Yes","Match","Name Only Match"),"No Match"))</f>
        <v>Match</v>
      </c>
      <c r="CQ49" s="35" t="str">
        <f>IF(AND(CP49="Match",CK49&gt;0,CL49&gt;0),"Y","N")</f>
        <v>Y</v>
      </c>
      <c r="CS49" t="str">
        <f>IF($CQ49="Y",VLOOKUP($CM49,'SBA Size Standards'!$B$3:$G$57,MATCH('SBA Size Standards'!$G$3,'SBA Size Standards'!$B$3:$G$3,0),FALSE),"")</f>
        <v>Employment</v>
      </c>
      <c r="CT49" s="60" t="str">
        <f>IF(CQ49="Y",IF($CS49="Employment","N/A",VLOOKUP($CM49,'SBA Size Standards'!$B$3:$G$57,MATCH('SBA Size Standards'!$E$3,'SBA Size Standards'!$B$3:$G$3,0),FALSE)),"")</f>
        <v>N/A</v>
      </c>
      <c r="CU49" s="86">
        <f>IF($CQ49="Y",IF($CS49="Revenue","N/A",VLOOKUP($CM49,'SBA Size Standards'!$B$3:$G$57,MATCH('SBA Size Standards'!$F$3,'SBA Size Standards'!$B$3:$G$3,0),FALSE)),"")</f>
        <v>250</v>
      </c>
      <c r="CV49" t="str">
        <f>IF($CQ49="Y",IF(OR(AND($CS49="Employment",$CL49&lt;$CU49),AND($CS49="Revenue",$CK49&lt;$CT49)),"YES","NO"),"")</f>
        <v>NO</v>
      </c>
      <c r="CW49" s="90" t="str">
        <f>IF($CQ49="Y",INDEX('SBA Size Standards'!$N$3:$N$12,MATCH($CK49,'SBA Size Standards'!$O$3:$O$12,1)),"")</f>
        <v>$1,000,000,001 -$125,000,000,000</v>
      </c>
      <c r="CX49" s="122" t="s">
        <v>4876</v>
      </c>
      <c r="CY49" s="122">
        <f>INDEX('NM O&amp;G Production'!$P$3:$P$537,MATCH(CX49,'NM O&amp;G Production'!$Q$3:$Q$537,0))</f>
        <v>330</v>
      </c>
      <c r="CZ49" s="122" t="str">
        <f>INDEX('NM O&amp;G Production'!$O$3:$O$537,MATCH(CY49,'NM O&amp;G Production'!$P$3:$P$537,0))</f>
        <v>No</v>
      </c>
      <c r="DA49" s="127">
        <f>INDEX('NM O&amp;G Production'!$K$3:$O$537,MATCH($CY49,'NM O&amp;G Production'!$P$3:$P$537,0),MATCH(DA$2,'NM O&amp;G Production'!$K$2:$O$2,0))</f>
        <v>0</v>
      </c>
      <c r="DB49" s="127">
        <f>INDEX('NM O&amp;G Production'!$K$3:$O$537,MATCH($CY49,'NM O&amp;G Production'!$P$3:$P$537,0),MATCH(DB$2,'NM O&amp;G Production'!$K$2:$O$2,0))</f>
        <v>0</v>
      </c>
      <c r="DC49" s="127"/>
      <c r="DD49" s="127">
        <f>INDEX('NM O&amp;G Production'!$K$3:$O$537,MATCH($CY49,'NM O&amp;G Production'!$P$3:$P$537,0),MATCH(DD$2,'NM O&amp;G Production'!$K$2:$O$2,0))</f>
        <v>0</v>
      </c>
      <c r="DE49" s="127">
        <f>INDEX('NM O&amp;G Production'!$K$3:$O$537,MATCH($CY49,'NM O&amp;G Production'!$P$3:$P$537,0),MATCH(DE$2,'NM O&amp;G Production'!$K$2:$O$2,0))</f>
        <v>0</v>
      </c>
      <c r="DF49" s="258" t="e">
        <f>CK49/(DB49+DA49)</f>
        <v>#DIV/0!</v>
      </c>
      <c r="DG49" s="57">
        <f>DD49*(12/18)*1.06*'Oil and Gas Prices'!$C$18</f>
        <v>0</v>
      </c>
      <c r="DH49" s="284">
        <f>DE49*(12/18)*'Oil and Gas Prices'!$C$4</f>
        <v>0</v>
      </c>
      <c r="DI49" s="284"/>
      <c r="DJ49" s="57" t="e">
        <f>(DG49+DH49)/(DA49+DB49)</f>
        <v>#DIV/0!</v>
      </c>
      <c r="DK49" s="18" t="e">
        <f>CK49/DI49</f>
        <v>#DIV/0!</v>
      </c>
    </row>
    <row r="50" spans="1:115" x14ac:dyDescent="0.25">
      <c r="A50" t="s">
        <v>1079</v>
      </c>
      <c r="B50" t="s">
        <v>1080</v>
      </c>
      <c r="D50" t="s">
        <v>123</v>
      </c>
      <c r="E50" t="s">
        <v>84</v>
      </c>
      <c r="F50">
        <v>87401</v>
      </c>
      <c r="G50" t="s">
        <v>62</v>
      </c>
      <c r="I50">
        <v>142</v>
      </c>
      <c r="J50" t="s">
        <v>63</v>
      </c>
      <c r="K50" t="s">
        <v>4133</v>
      </c>
      <c r="L50" t="s">
        <v>64</v>
      </c>
      <c r="M50">
        <v>10</v>
      </c>
      <c r="N50" t="s">
        <v>1081</v>
      </c>
      <c r="O50" t="s">
        <v>1082</v>
      </c>
      <c r="P50" t="s">
        <v>1083</v>
      </c>
      <c r="Q50" t="s">
        <v>1084</v>
      </c>
      <c r="R50" t="s">
        <v>123</v>
      </c>
      <c r="S50" t="s">
        <v>214</v>
      </c>
      <c r="T50" t="s">
        <v>1085</v>
      </c>
      <c r="U50" t="s">
        <v>62</v>
      </c>
      <c r="V50">
        <v>5053256800</v>
      </c>
      <c r="W50" s="1">
        <v>4308765</v>
      </c>
      <c r="X50">
        <v>1</v>
      </c>
      <c r="Y50">
        <v>1</v>
      </c>
      <c r="Z50">
        <v>1997</v>
      </c>
      <c r="AA50" t="s">
        <v>70</v>
      </c>
      <c r="AB50" t="s">
        <v>1086</v>
      </c>
      <c r="AC50" t="s">
        <v>98</v>
      </c>
      <c r="AD50" t="s">
        <v>119</v>
      </c>
      <c r="AE50">
        <v>1382</v>
      </c>
      <c r="AF50" t="s">
        <v>120</v>
      </c>
      <c r="AI50">
        <v>13820000</v>
      </c>
      <c r="AJ50" t="s">
        <v>119</v>
      </c>
      <c r="AM50">
        <v>213112</v>
      </c>
      <c r="AN50" t="s">
        <v>74</v>
      </c>
      <c r="AQ50" t="s">
        <v>168</v>
      </c>
      <c r="AR50" t="s">
        <v>1087</v>
      </c>
      <c r="AS50" t="s">
        <v>1088</v>
      </c>
      <c r="AT50" t="s">
        <v>76</v>
      </c>
      <c r="AU50" t="s">
        <v>80</v>
      </c>
      <c r="AV50" t="s">
        <v>62</v>
      </c>
      <c r="AW50" t="s">
        <v>1087</v>
      </c>
      <c r="AX50" t="s">
        <v>1088</v>
      </c>
      <c r="AY50" t="s">
        <v>80</v>
      </c>
      <c r="AZ50" t="s">
        <v>62</v>
      </c>
      <c r="BA50" t="s">
        <v>1089</v>
      </c>
      <c r="BC50" t="s">
        <v>1090</v>
      </c>
      <c r="BD50" t="s">
        <v>80</v>
      </c>
      <c r="BE50" t="s">
        <v>62</v>
      </c>
      <c r="BF50">
        <v>3</v>
      </c>
      <c r="BG50">
        <v>25</v>
      </c>
      <c r="BH50" s="4" t="s">
        <v>1087</v>
      </c>
      <c r="BI50" s="4" t="s">
        <v>1088</v>
      </c>
      <c r="BJ50" s="4" t="s">
        <v>4166</v>
      </c>
      <c r="BK50" s="4" t="s">
        <v>4167</v>
      </c>
      <c r="BL50" s="4" t="s">
        <v>153</v>
      </c>
      <c r="BM50" s="4" t="s">
        <v>94</v>
      </c>
      <c r="BN50" s="4" t="s">
        <v>4168</v>
      </c>
      <c r="BO50" s="4" t="s">
        <v>62</v>
      </c>
      <c r="BP50" s="4">
        <v>4322217400</v>
      </c>
      <c r="BQ50" s="5">
        <v>3964000000</v>
      </c>
      <c r="BR50" s="4">
        <v>22</v>
      </c>
      <c r="BS50" s="4">
        <v>711</v>
      </c>
      <c r="BT50" s="4">
        <v>2007</v>
      </c>
      <c r="BU50" s="4" t="s">
        <v>163</v>
      </c>
      <c r="BV50" s="4" t="s">
        <v>4169</v>
      </c>
      <c r="BW50" s="4" t="s">
        <v>133</v>
      </c>
      <c r="BX50" s="4" t="s">
        <v>119</v>
      </c>
      <c r="BY50" s="4">
        <v>1311</v>
      </c>
      <c r="BZ50" s="4" t="s">
        <v>100</v>
      </c>
      <c r="CC50" s="4">
        <v>13110000</v>
      </c>
      <c r="CD50" s="4" t="s">
        <v>276</v>
      </c>
      <c r="CG50" s="4">
        <v>213112</v>
      </c>
      <c r="CH50" s="4" t="s">
        <v>74</v>
      </c>
      <c r="CK50" s="19">
        <f>IF(BQ50&gt;0,BQ50,W50)</f>
        <v>3964000000</v>
      </c>
      <c r="CL50" s="20">
        <f>IF(BS50&gt;0,BS50,Y50)</f>
        <v>711</v>
      </c>
      <c r="CM50" s="34">
        <f>IF(CG50&gt;0,CG50,AM50)</f>
        <v>213112</v>
      </c>
      <c r="CN50" s="80">
        <f>IF($BH50="",1,COUNTIF($BH$3:$BH50,$BH50))</f>
        <v>1</v>
      </c>
      <c r="CP50" t="str">
        <f>IF($K50="Standard Match","Match",IF($K50="Name Only Match",IF($CO50="Yes","Match","Name Only Match"),"No Match"))</f>
        <v>Match</v>
      </c>
      <c r="CQ50" s="35" t="str">
        <f>IF(AND(CP50="Match",CK50&gt;0,CL50&gt;0),"Y","N")</f>
        <v>Y</v>
      </c>
      <c r="CS50" t="str">
        <f>IF($CQ50="Y",VLOOKUP($CM50,'SBA Size Standards'!$B$3:$G$57,MATCH('SBA Size Standards'!$G$3,'SBA Size Standards'!$B$3:$G$3,0),FALSE),"")</f>
        <v>Revenue</v>
      </c>
      <c r="CT50" s="60">
        <f>IF(CQ50="Y",IF($CS50="Employment","N/A",VLOOKUP($CM50,'SBA Size Standards'!$B$3:$G$57,MATCH('SBA Size Standards'!$E$3,'SBA Size Standards'!$B$3:$G$3,0),FALSE)),"")</f>
        <v>41500000</v>
      </c>
      <c r="CU50" s="86" t="str">
        <f>IF($CQ50="Y",IF($CS50="Revenue","N/A",VLOOKUP($CM50,'SBA Size Standards'!$B$3:$G$57,MATCH('SBA Size Standards'!$F$3,'SBA Size Standards'!$B$3:$G$3,0),FALSE)),"")</f>
        <v>N/A</v>
      </c>
      <c r="CV50" t="str">
        <f>IF($CQ50="Y",IF(OR(AND($CS50="Employment",$CL50&lt;$CU50),AND($CS50="Revenue",$CK50&lt;$CT50)),"YES","NO"),"")</f>
        <v>NO</v>
      </c>
      <c r="CW50" s="90" t="str">
        <f>IF($CQ50="Y",INDEX('SBA Size Standards'!$N$3:$N$12,MATCH($CK50,'SBA Size Standards'!$O$3:$O$12,1)),"")</f>
        <v>$1,000,000,001 -$125,000,000,000</v>
      </c>
      <c r="CX50" s="122" t="s">
        <v>4598</v>
      </c>
      <c r="CY50" s="122">
        <f>INDEX('NM O&amp;G Production'!$P$3:$P$537,MATCH(CX50,'NM O&amp;G Production'!$Q$3:$Q$537,0))</f>
        <v>142</v>
      </c>
      <c r="CZ50" s="122" t="str">
        <f>INDEX('NM O&amp;G Production'!$O$3:$O$537,MATCH(CY50,'NM O&amp;G Production'!$P$3:$P$537,0))</f>
        <v>No</v>
      </c>
      <c r="DA50" s="127">
        <f>INDEX('NM O&amp;G Production'!$K$3:$O$537,MATCH($CY50,'NM O&amp;G Production'!$P$3:$P$537,0),MATCH(DA$2,'NM O&amp;G Production'!$K$2:$O$2,0))</f>
        <v>0</v>
      </c>
      <c r="DB50" s="127">
        <f>INDEX('NM O&amp;G Production'!$K$3:$O$537,MATCH($CY50,'NM O&amp;G Production'!$P$3:$P$537,0),MATCH(DB$2,'NM O&amp;G Production'!$K$2:$O$2,0))</f>
        <v>0</v>
      </c>
      <c r="DC50" s="127"/>
      <c r="DD50" s="127">
        <f>INDEX('NM O&amp;G Production'!$K$3:$O$537,MATCH($CY50,'NM O&amp;G Production'!$P$3:$P$537,0),MATCH(DD$2,'NM O&amp;G Production'!$K$2:$O$2,0))</f>
        <v>0</v>
      </c>
      <c r="DE50" s="127">
        <f>INDEX('NM O&amp;G Production'!$K$3:$O$537,MATCH($CY50,'NM O&amp;G Production'!$P$3:$P$537,0),MATCH(DE$2,'NM O&amp;G Production'!$K$2:$O$2,0))</f>
        <v>0</v>
      </c>
      <c r="DF50" s="258" t="e">
        <f>CK50/(DB50+DA50)</f>
        <v>#DIV/0!</v>
      </c>
      <c r="DG50" s="57">
        <f>DD50*(12/18)*1.06*'Oil and Gas Prices'!$C$18</f>
        <v>0</v>
      </c>
      <c r="DH50" s="284">
        <f>DE50*(12/18)*'Oil and Gas Prices'!$C$4</f>
        <v>0</v>
      </c>
      <c r="DI50" s="284"/>
      <c r="DJ50" s="57" t="e">
        <f>(DG50+DH50)/(DA50+DB50)</f>
        <v>#DIV/0!</v>
      </c>
      <c r="DK50" s="18" t="e">
        <f>CK50/DI50</f>
        <v>#DIV/0!</v>
      </c>
    </row>
    <row r="51" spans="1:115" x14ac:dyDescent="0.25">
      <c r="A51" t="s">
        <v>1091</v>
      </c>
      <c r="B51" t="s">
        <v>1092</v>
      </c>
      <c r="D51" t="s">
        <v>153</v>
      </c>
      <c r="E51" t="s">
        <v>80</v>
      </c>
      <c r="F51">
        <v>79705</v>
      </c>
      <c r="G51" t="s">
        <v>62</v>
      </c>
      <c r="I51">
        <v>143</v>
      </c>
      <c r="J51" t="s">
        <v>63</v>
      </c>
      <c r="K51" t="s">
        <v>4133</v>
      </c>
      <c r="L51" t="s">
        <v>247</v>
      </c>
      <c r="M51">
        <v>10</v>
      </c>
      <c r="N51" t="s">
        <v>1093</v>
      </c>
      <c r="O51" t="s">
        <v>1082</v>
      </c>
      <c r="P51" t="s">
        <v>1079</v>
      </c>
      <c r="Q51" t="s">
        <v>1094</v>
      </c>
      <c r="R51" t="s">
        <v>153</v>
      </c>
      <c r="S51" t="s">
        <v>94</v>
      </c>
      <c r="T51" t="s">
        <v>1016</v>
      </c>
      <c r="U51" t="s">
        <v>62</v>
      </c>
      <c r="V51">
        <v>4326871155</v>
      </c>
      <c r="X51">
        <v>11</v>
      </c>
      <c r="Y51">
        <v>0</v>
      </c>
      <c r="AA51" t="s">
        <v>96</v>
      </c>
      <c r="AB51" t="s">
        <v>1095</v>
      </c>
      <c r="AC51" t="s">
        <v>179</v>
      </c>
      <c r="AD51" t="s">
        <v>99</v>
      </c>
      <c r="AE51">
        <v>1311</v>
      </c>
      <c r="AF51" t="s">
        <v>100</v>
      </c>
      <c r="AG51">
        <v>4922</v>
      </c>
      <c r="AH51" t="s">
        <v>1028</v>
      </c>
      <c r="AI51">
        <v>13110101</v>
      </c>
      <c r="AJ51" t="s">
        <v>102</v>
      </c>
      <c r="AK51">
        <v>49220000</v>
      </c>
      <c r="AL51" t="s">
        <v>1027</v>
      </c>
      <c r="AM51">
        <v>211120</v>
      </c>
      <c r="AN51" t="s">
        <v>104</v>
      </c>
      <c r="AO51">
        <v>486210</v>
      </c>
      <c r="AP51" t="s">
        <v>1029</v>
      </c>
      <c r="AQ51" t="s">
        <v>75</v>
      </c>
      <c r="AR51" t="s">
        <v>1087</v>
      </c>
      <c r="AS51" t="s">
        <v>1088</v>
      </c>
      <c r="AT51" t="s">
        <v>76</v>
      </c>
      <c r="AU51" t="s">
        <v>80</v>
      </c>
      <c r="AV51" t="s">
        <v>62</v>
      </c>
      <c r="AW51" t="s">
        <v>1087</v>
      </c>
      <c r="AX51" t="s">
        <v>1088</v>
      </c>
      <c r="AY51" t="s">
        <v>80</v>
      </c>
      <c r="AZ51" t="s">
        <v>62</v>
      </c>
      <c r="BB51" t="s">
        <v>1096</v>
      </c>
      <c r="BC51" t="s">
        <v>1082</v>
      </c>
      <c r="BD51" t="s">
        <v>1097</v>
      </c>
      <c r="BE51" t="s">
        <v>62</v>
      </c>
      <c r="BF51">
        <v>3</v>
      </c>
      <c r="BG51">
        <v>25</v>
      </c>
      <c r="BH51" s="4" t="s">
        <v>1087</v>
      </c>
      <c r="BI51" s="4" t="s">
        <v>1088</v>
      </c>
      <c r="BJ51" s="4" t="s">
        <v>4166</v>
      </c>
      <c r="BK51" s="4" t="s">
        <v>4167</v>
      </c>
      <c r="BL51" s="4" t="s">
        <v>153</v>
      </c>
      <c r="BM51" s="4" t="s">
        <v>94</v>
      </c>
      <c r="BN51" s="4" t="s">
        <v>4168</v>
      </c>
      <c r="BO51" s="4" t="s">
        <v>62</v>
      </c>
      <c r="BP51" s="4">
        <v>4322217400</v>
      </c>
      <c r="BQ51" s="5">
        <v>3964000000</v>
      </c>
      <c r="BR51" s="4">
        <v>22</v>
      </c>
      <c r="BS51" s="4">
        <v>711</v>
      </c>
      <c r="BT51" s="4">
        <v>2007</v>
      </c>
      <c r="BU51" s="4" t="s">
        <v>163</v>
      </c>
      <c r="BV51" s="4" t="s">
        <v>4169</v>
      </c>
      <c r="BW51" s="4" t="s">
        <v>133</v>
      </c>
      <c r="BX51" s="4" t="s">
        <v>119</v>
      </c>
      <c r="BY51" s="4">
        <v>1311</v>
      </c>
      <c r="BZ51" s="4" t="s">
        <v>100</v>
      </c>
      <c r="CC51" s="4">
        <v>13110000</v>
      </c>
      <c r="CD51" s="4" t="s">
        <v>276</v>
      </c>
      <c r="CG51" s="4">
        <v>213112</v>
      </c>
      <c r="CH51" s="4" t="s">
        <v>74</v>
      </c>
      <c r="CK51" s="19">
        <f>IF(BQ51&gt;0,BQ51,W51)</f>
        <v>3964000000</v>
      </c>
      <c r="CL51" s="20">
        <f>IF(BS51&gt;0,BS51,Y51)</f>
        <v>711</v>
      </c>
      <c r="CM51" s="34">
        <f>IF(CG51&gt;0,CG51,AM51)</f>
        <v>213112</v>
      </c>
      <c r="CN51" s="80">
        <f>IF($BH51="",1,COUNTIF($BH$3:$BH51,$BH51))</f>
        <v>2</v>
      </c>
      <c r="CP51" t="str">
        <f>IF($K51="Standard Match","Match",IF($K51="Name Only Match",IF($CO51="Yes","Match","Name Only Match"),"No Match"))</f>
        <v>Match</v>
      </c>
      <c r="CQ51" s="35" t="str">
        <f>IF(AND(CP51="Match",CK51&gt;0,CL51&gt;0),"Y","N")</f>
        <v>Y</v>
      </c>
      <c r="CS51" t="str">
        <f>IF($CQ51="Y",VLOOKUP($CM51,'SBA Size Standards'!$B$3:$G$57,MATCH('SBA Size Standards'!$G$3,'SBA Size Standards'!$B$3:$G$3,0),FALSE),"")</f>
        <v>Revenue</v>
      </c>
      <c r="CT51" s="60">
        <f>IF(CQ51="Y",IF($CS51="Employment","N/A",VLOOKUP($CM51,'SBA Size Standards'!$B$3:$G$57,MATCH('SBA Size Standards'!$E$3,'SBA Size Standards'!$B$3:$G$3,0),FALSE)),"")</f>
        <v>41500000</v>
      </c>
      <c r="CU51" s="86" t="str">
        <f>IF($CQ51="Y",IF($CS51="Revenue","N/A",VLOOKUP($CM51,'SBA Size Standards'!$B$3:$G$57,MATCH('SBA Size Standards'!$F$3,'SBA Size Standards'!$B$3:$G$3,0),FALSE)),"")</f>
        <v>N/A</v>
      </c>
      <c r="CV51" t="str">
        <f>IF($CQ51="Y",IF(OR(AND($CS51="Employment",$CL51&lt;$CU51),AND($CS51="Revenue",$CK51&lt;$CT51)),"YES","NO"),"")</f>
        <v>NO</v>
      </c>
      <c r="CW51" s="90" t="str">
        <f>IF($CQ51="Y",INDEX('SBA Size Standards'!$N$3:$N$12,MATCH($CK51,'SBA Size Standards'!$O$3:$O$12,1)),"")</f>
        <v>$1,000,000,001 -$125,000,000,000</v>
      </c>
      <c r="CX51" s="122" t="s">
        <v>4599</v>
      </c>
      <c r="CY51" s="122">
        <f>INDEX('NM O&amp;G Production'!$P$3:$P$537,MATCH(CX51,'NM O&amp;G Production'!$Q$3:$Q$537,0))</f>
        <v>143</v>
      </c>
      <c r="CZ51" s="122" t="str">
        <f>INDEX('NM O&amp;G Production'!$O$3:$O$537,MATCH(CY51,'NM O&amp;G Production'!$P$3:$P$537,0))</f>
        <v>Yes</v>
      </c>
      <c r="DA51" s="127">
        <f>INDEX('NM O&amp;G Production'!$K$3:$O$537,MATCH($CY51,'NM O&amp;G Production'!$P$3:$P$537,0),MATCH(DA$2,'NM O&amp;G Production'!$K$2:$O$2,0))</f>
        <v>1</v>
      </c>
      <c r="DB51" s="127">
        <f>INDEX('NM O&amp;G Production'!$K$3:$O$537,MATCH($CY51,'NM O&amp;G Production'!$P$3:$P$537,0),MATCH(DB$2,'NM O&amp;G Production'!$K$2:$O$2,0))</f>
        <v>1</v>
      </c>
      <c r="DC51" s="127">
        <f>DA51+DB51</f>
        <v>2</v>
      </c>
      <c r="DD51" s="127">
        <f>INDEX('NM O&amp;G Production'!$K$3:$O$537,MATCH($CY51,'NM O&amp;G Production'!$P$3:$P$537,0),MATCH(DD$2,'NM O&amp;G Production'!$K$2:$O$2,0))</f>
        <v>147874</v>
      </c>
      <c r="DE51" s="127">
        <f>INDEX('NM O&amp;G Production'!$K$3:$O$537,MATCH($CY51,'NM O&amp;G Production'!$P$3:$P$537,0),MATCH(DE$2,'NM O&amp;G Production'!$K$2:$O$2,0))</f>
        <v>39972</v>
      </c>
      <c r="DF51" s="258">
        <f>CK51/(DB51+DA51)</f>
        <v>1982000000</v>
      </c>
      <c r="DG51" s="57">
        <f>DD51*(12/18)*1.06*'Oil and Gas Prices'!$C$18</f>
        <v>249749.32773333334</v>
      </c>
      <c r="DH51" s="284">
        <f>DE51*(12/18)*'Oil and Gas Prices'!$C$4</f>
        <v>1199160</v>
      </c>
      <c r="DI51" s="284">
        <f>DG51+DH51</f>
        <v>1448909.3277333332</v>
      </c>
      <c r="DJ51" s="57">
        <f>(DG51+DH51)/(DA51+DB51)</f>
        <v>724454.66386666661</v>
      </c>
      <c r="DK51" s="318"/>
    </row>
    <row r="52" spans="1:115" x14ac:dyDescent="0.25">
      <c r="A52" t="s">
        <v>1129</v>
      </c>
      <c r="B52" t="s">
        <v>908</v>
      </c>
      <c r="D52" t="s">
        <v>378</v>
      </c>
      <c r="E52" t="s">
        <v>80</v>
      </c>
      <c r="F52">
        <v>75201</v>
      </c>
      <c r="G52" t="s">
        <v>62</v>
      </c>
      <c r="I52">
        <v>148</v>
      </c>
      <c r="J52" t="s">
        <v>63</v>
      </c>
      <c r="K52" t="s">
        <v>4133</v>
      </c>
      <c r="L52" t="s">
        <v>113</v>
      </c>
      <c r="M52">
        <v>8</v>
      </c>
      <c r="N52" t="s">
        <v>1130</v>
      </c>
      <c r="O52" t="s">
        <v>1131</v>
      </c>
      <c r="Q52" t="s">
        <v>1132</v>
      </c>
      <c r="R52" t="s">
        <v>378</v>
      </c>
      <c r="S52" t="s">
        <v>94</v>
      </c>
      <c r="T52" t="s">
        <v>1133</v>
      </c>
      <c r="U52" t="s">
        <v>62</v>
      </c>
      <c r="V52">
        <v>2149539500</v>
      </c>
      <c r="W52" s="1">
        <v>810033</v>
      </c>
      <c r="X52">
        <v>32</v>
      </c>
      <c r="Y52">
        <v>32</v>
      </c>
      <c r="Z52">
        <v>2019</v>
      </c>
      <c r="AA52" t="s">
        <v>70</v>
      </c>
      <c r="AD52" t="s">
        <v>1027</v>
      </c>
      <c r="AE52">
        <v>4922</v>
      </c>
      <c r="AF52" t="s">
        <v>1028</v>
      </c>
      <c r="AI52">
        <v>49229901</v>
      </c>
      <c r="AJ52" t="s">
        <v>1108</v>
      </c>
      <c r="AM52">
        <v>486210</v>
      </c>
      <c r="AN52" t="s">
        <v>1029</v>
      </c>
      <c r="AQ52" t="s">
        <v>168</v>
      </c>
      <c r="AR52" t="s">
        <v>1134</v>
      </c>
      <c r="AS52" t="s">
        <v>1135</v>
      </c>
      <c r="AT52" t="s">
        <v>76</v>
      </c>
      <c r="AU52" t="s">
        <v>80</v>
      </c>
      <c r="AV52" t="s">
        <v>62</v>
      </c>
      <c r="AW52" t="s">
        <v>1134</v>
      </c>
      <c r="AX52" t="s">
        <v>1135</v>
      </c>
      <c r="AY52" t="s">
        <v>80</v>
      </c>
      <c r="AZ52" t="s">
        <v>62</v>
      </c>
      <c r="BA52" t="s">
        <v>1136</v>
      </c>
      <c r="BC52" t="s">
        <v>1137</v>
      </c>
      <c r="BD52" t="s">
        <v>80</v>
      </c>
      <c r="BE52" t="s">
        <v>62</v>
      </c>
      <c r="BF52">
        <v>3</v>
      </c>
      <c r="BG52">
        <v>103</v>
      </c>
      <c r="BH52" s="4" t="s">
        <v>1134</v>
      </c>
      <c r="BI52" s="4" t="s">
        <v>1135</v>
      </c>
      <c r="BK52" s="4" t="s">
        <v>1132</v>
      </c>
      <c r="BL52" s="4" t="s">
        <v>378</v>
      </c>
      <c r="BM52" s="4" t="s">
        <v>94</v>
      </c>
      <c r="BN52" s="4" t="s">
        <v>1133</v>
      </c>
      <c r="BO52" s="4" t="s">
        <v>62</v>
      </c>
      <c r="BP52" s="4">
        <v>2149539500</v>
      </c>
      <c r="BQ52" s="5">
        <v>3893800000</v>
      </c>
      <c r="BR52" s="4">
        <v>70</v>
      </c>
      <c r="BS52" s="6">
        <v>1449</v>
      </c>
      <c r="BT52" s="4">
        <v>2002</v>
      </c>
      <c r="BU52" s="4" t="s">
        <v>163</v>
      </c>
      <c r="BV52" s="4" t="s">
        <v>4262</v>
      </c>
      <c r="BW52" s="4" t="s">
        <v>133</v>
      </c>
      <c r="BX52" s="4" t="s">
        <v>1027</v>
      </c>
      <c r="BY52" s="4">
        <v>4922</v>
      </c>
      <c r="BZ52" s="4" t="s">
        <v>1028</v>
      </c>
      <c r="CC52" s="4">
        <v>49220000</v>
      </c>
      <c r="CD52" s="4" t="s">
        <v>1027</v>
      </c>
      <c r="CG52" s="4">
        <v>486210</v>
      </c>
      <c r="CH52" s="4" t="s">
        <v>1029</v>
      </c>
      <c r="CK52" s="19">
        <f>IF(BQ52&gt;0,BQ52,W52)</f>
        <v>3893800000</v>
      </c>
      <c r="CL52" s="20">
        <f>IF(BS52&gt;0,BS52,Y52)</f>
        <v>1449</v>
      </c>
      <c r="CM52" s="34">
        <f>IF(CG52&gt;0,CG52,AM52)</f>
        <v>486210</v>
      </c>
      <c r="CN52" s="80">
        <f>IF($BH52="",1,COUNTIF($BH$3:$BH52,$BH52))</f>
        <v>1</v>
      </c>
      <c r="CP52" t="str">
        <f>IF($K52="Standard Match","Match",IF($K52="Name Only Match",IF($CO52="Yes","Match","Name Only Match"),"No Match"))</f>
        <v>Match</v>
      </c>
      <c r="CQ52" s="35" t="str">
        <f>IF(AND(CP52="Match",CK52&gt;0,CL52&gt;0),"Y","N")</f>
        <v>Y</v>
      </c>
      <c r="CS52" t="str">
        <f>IF($CQ52="Y",VLOOKUP($CM52,'SBA Size Standards'!$B$3:$G$57,MATCH('SBA Size Standards'!$G$3,'SBA Size Standards'!$B$3:$G$3,0),FALSE),"")</f>
        <v>Revenue</v>
      </c>
      <c r="CT52" s="60">
        <f>IF(CQ52="Y",IF($CS52="Employment","N/A",VLOOKUP($CM52,'SBA Size Standards'!$B$3:$G$57,MATCH('SBA Size Standards'!$E$3,'SBA Size Standards'!$B$3:$G$3,0),FALSE)),"")</f>
        <v>30000000</v>
      </c>
      <c r="CU52" s="86" t="str">
        <f>IF($CQ52="Y",IF($CS52="Revenue","N/A",VLOOKUP($CM52,'SBA Size Standards'!$B$3:$G$57,MATCH('SBA Size Standards'!$F$3,'SBA Size Standards'!$B$3:$G$3,0),FALSE)),"")</f>
        <v>N/A</v>
      </c>
      <c r="CV52" t="str">
        <f>IF($CQ52="Y",IF(OR(AND($CS52="Employment",$CL52&lt;$CU52),AND($CS52="Revenue",$CK52&lt;$CT52)),"YES","NO"),"")</f>
        <v>NO</v>
      </c>
      <c r="CW52" s="90" t="str">
        <f>IF($CQ52="Y",INDEX('SBA Size Standards'!$N$3:$N$12,MATCH($CK52,'SBA Size Standards'!$O$3:$O$12,1)),"")</f>
        <v>$1,000,000,001 -$125,000,000,000</v>
      </c>
      <c r="CX52" s="122" t="s">
        <v>4834</v>
      </c>
      <c r="CY52" s="122">
        <f>INDEX('NM O&amp;G Production'!$P$3:$P$537,MATCH(CX52,'NM O&amp;G Production'!$Q$3:$Q$537,0))</f>
        <v>148</v>
      </c>
      <c r="CZ52" s="122" t="str">
        <f>INDEX('NM O&amp;G Production'!$O$3:$O$537,MATCH(CY52,'NM O&amp;G Production'!$P$3:$P$537,0))</f>
        <v>No</v>
      </c>
      <c r="DA52" s="127">
        <f>INDEX('NM O&amp;G Production'!$K$3:$O$537,MATCH($CY52,'NM O&amp;G Production'!$P$3:$P$537,0),MATCH(DA$2,'NM O&amp;G Production'!$K$2:$O$2,0))</f>
        <v>0</v>
      </c>
      <c r="DB52" s="127">
        <f>INDEX('NM O&amp;G Production'!$K$3:$O$537,MATCH($CY52,'NM O&amp;G Production'!$P$3:$P$537,0),MATCH(DB$2,'NM O&amp;G Production'!$K$2:$O$2,0))</f>
        <v>0</v>
      </c>
      <c r="DC52" s="127"/>
      <c r="DD52" s="127">
        <f>INDEX('NM O&amp;G Production'!$K$3:$O$537,MATCH($CY52,'NM O&amp;G Production'!$P$3:$P$537,0),MATCH(DD$2,'NM O&amp;G Production'!$K$2:$O$2,0))</f>
        <v>0</v>
      </c>
      <c r="DE52" s="127">
        <f>INDEX('NM O&amp;G Production'!$K$3:$O$537,MATCH($CY52,'NM O&amp;G Production'!$P$3:$P$537,0),MATCH(DE$2,'NM O&amp;G Production'!$K$2:$O$2,0))</f>
        <v>0</v>
      </c>
      <c r="DF52" s="258" t="e">
        <f>CK52/(DB52+DA52)</f>
        <v>#DIV/0!</v>
      </c>
      <c r="DG52" s="57">
        <f>DD52*(12/18)*1.06*'Oil and Gas Prices'!$C$18</f>
        <v>0</v>
      </c>
      <c r="DH52" s="284">
        <f>DE52*(12/18)*'Oil and Gas Prices'!$C$4</f>
        <v>0</v>
      </c>
      <c r="DI52" s="284"/>
      <c r="DJ52" s="57" t="e">
        <f>(DG52+DH52)/(DA52+DB52)</f>
        <v>#DIV/0!</v>
      </c>
      <c r="DK52" s="18" t="e">
        <f>CK52/DI52</f>
        <v>#DIV/0!</v>
      </c>
    </row>
    <row r="53" spans="1:115" x14ac:dyDescent="0.25">
      <c r="A53" t="s">
        <v>817</v>
      </c>
      <c r="B53" t="s">
        <v>818</v>
      </c>
      <c r="D53" t="s">
        <v>112</v>
      </c>
      <c r="E53" t="s">
        <v>80</v>
      </c>
      <c r="F53">
        <v>77002</v>
      </c>
      <c r="G53" t="s">
        <v>62</v>
      </c>
      <c r="I53">
        <v>104</v>
      </c>
      <c r="J53" t="s">
        <v>63</v>
      </c>
      <c r="K53" t="s">
        <v>4133</v>
      </c>
      <c r="L53" t="s">
        <v>113</v>
      </c>
      <c r="M53">
        <v>8</v>
      </c>
      <c r="N53" t="s">
        <v>819</v>
      </c>
      <c r="O53" t="s">
        <v>820</v>
      </c>
      <c r="P53" t="s">
        <v>821</v>
      </c>
      <c r="Q53" t="s">
        <v>822</v>
      </c>
      <c r="R53" t="s">
        <v>112</v>
      </c>
      <c r="S53" t="s">
        <v>94</v>
      </c>
      <c r="T53" t="s">
        <v>823</v>
      </c>
      <c r="U53" t="s">
        <v>62</v>
      </c>
      <c r="V53">
        <v>8325192200</v>
      </c>
      <c r="W53" s="1">
        <v>3181900000</v>
      </c>
      <c r="X53">
        <v>90</v>
      </c>
      <c r="Y53">
        <v>894</v>
      </c>
      <c r="Z53">
        <v>2001</v>
      </c>
      <c r="AA53" t="s">
        <v>163</v>
      </c>
      <c r="AB53" t="s">
        <v>824</v>
      </c>
      <c r="AC53" t="s">
        <v>165</v>
      </c>
      <c r="AD53" t="s">
        <v>825</v>
      </c>
      <c r="AE53">
        <v>5172</v>
      </c>
      <c r="AF53" t="s">
        <v>826</v>
      </c>
      <c r="AG53">
        <v>5984</v>
      </c>
      <c r="AH53" t="s">
        <v>191</v>
      </c>
      <c r="AI53">
        <v>51720000</v>
      </c>
      <c r="AJ53" t="s">
        <v>825</v>
      </c>
      <c r="AK53">
        <v>59849903</v>
      </c>
      <c r="AL53" t="s">
        <v>192</v>
      </c>
      <c r="AM53">
        <v>424720</v>
      </c>
      <c r="AN53" t="s">
        <v>827</v>
      </c>
      <c r="AO53">
        <v>454310</v>
      </c>
      <c r="AP53" t="s">
        <v>193</v>
      </c>
      <c r="AQ53" t="s">
        <v>75</v>
      </c>
      <c r="AR53" t="s">
        <v>819</v>
      </c>
      <c r="AS53" t="s">
        <v>820</v>
      </c>
      <c r="AT53" t="s">
        <v>427</v>
      </c>
      <c r="AU53" t="s">
        <v>80</v>
      </c>
      <c r="AV53" t="s">
        <v>62</v>
      </c>
      <c r="AW53" t="s">
        <v>819</v>
      </c>
      <c r="AX53" t="s">
        <v>820</v>
      </c>
      <c r="AY53" t="s">
        <v>80</v>
      </c>
      <c r="AZ53" t="s">
        <v>62</v>
      </c>
      <c r="BE53" t="s">
        <v>62</v>
      </c>
      <c r="BF53">
        <v>1</v>
      </c>
      <c r="BG53">
        <v>264</v>
      </c>
      <c r="BH53" s="4" t="s">
        <v>819</v>
      </c>
      <c r="BI53" s="4" t="s">
        <v>820</v>
      </c>
      <c r="BJ53" s="4" t="s">
        <v>821</v>
      </c>
      <c r="BK53" s="4" t="s">
        <v>822</v>
      </c>
      <c r="BL53" s="4" t="s">
        <v>112</v>
      </c>
      <c r="BM53" s="4" t="s">
        <v>94</v>
      </c>
      <c r="BN53" s="4" t="s">
        <v>823</v>
      </c>
      <c r="BO53" s="4" t="s">
        <v>62</v>
      </c>
      <c r="BP53" s="4">
        <v>8325192200</v>
      </c>
      <c r="BQ53" s="5">
        <v>3181900000</v>
      </c>
      <c r="BR53" s="4">
        <v>90</v>
      </c>
      <c r="BS53" s="4">
        <v>894</v>
      </c>
      <c r="BT53" s="4">
        <v>2001</v>
      </c>
      <c r="BU53" s="4" t="s">
        <v>163</v>
      </c>
      <c r="BV53" s="4" t="s">
        <v>824</v>
      </c>
      <c r="BW53" s="4" t="s">
        <v>165</v>
      </c>
      <c r="BX53" s="4" t="s">
        <v>825</v>
      </c>
      <c r="BY53" s="4">
        <v>5172</v>
      </c>
      <c r="BZ53" s="4" t="s">
        <v>826</v>
      </c>
      <c r="CA53" s="4">
        <v>5984</v>
      </c>
      <c r="CB53" s="4" t="s">
        <v>191</v>
      </c>
      <c r="CC53" s="4">
        <v>51720000</v>
      </c>
      <c r="CD53" s="4" t="s">
        <v>825</v>
      </c>
      <c r="CE53" s="4">
        <v>59849903</v>
      </c>
      <c r="CF53" s="4" t="s">
        <v>192</v>
      </c>
      <c r="CG53" s="4">
        <v>424720</v>
      </c>
      <c r="CH53" s="4" t="s">
        <v>827</v>
      </c>
      <c r="CI53" s="4">
        <v>454310</v>
      </c>
      <c r="CJ53" s="4" t="s">
        <v>193</v>
      </c>
      <c r="CK53" s="19">
        <f>IF(BQ53&gt;0,BQ53,W53)</f>
        <v>3181900000</v>
      </c>
      <c r="CL53" s="20">
        <f>IF(BS53&gt;0,BS53,Y53)</f>
        <v>894</v>
      </c>
      <c r="CM53" s="34">
        <f>IF(CG53&gt;0,CG53,AM53)</f>
        <v>424720</v>
      </c>
      <c r="CN53" s="80">
        <f>IF($BH53="",1,COUNTIF($BH$3:$BH53,$BH53))</f>
        <v>1</v>
      </c>
      <c r="CP53" t="str">
        <f>IF($K53="Standard Match","Match",IF($K53="Name Only Match",IF($CO53="Yes","Match","Name Only Match"),"No Match"))</f>
        <v>Match</v>
      </c>
      <c r="CQ53" s="35" t="str">
        <f>IF(AND(CP53="Match",CK53&gt;0,CL53&gt;0),"Y","N")</f>
        <v>Y</v>
      </c>
      <c r="CS53" t="str">
        <f>IF($CQ53="Y",VLOOKUP($CM53,'SBA Size Standards'!$B$3:$G$57,MATCH('SBA Size Standards'!$G$3,'SBA Size Standards'!$B$3:$G$3,0),FALSE),"")</f>
        <v>Employment</v>
      </c>
      <c r="CT53" s="60" t="str">
        <f>IF(CQ53="Y",IF($CS53="Employment","N/A",VLOOKUP($CM53,'SBA Size Standards'!$B$3:$G$57,MATCH('SBA Size Standards'!$E$3,'SBA Size Standards'!$B$3:$G$3,0),FALSE)),"")</f>
        <v>N/A</v>
      </c>
      <c r="CU53" s="86">
        <f>IF($CQ53="Y",IF($CS53="Revenue","N/A",VLOOKUP($CM53,'SBA Size Standards'!$B$3:$G$57,MATCH('SBA Size Standards'!$F$3,'SBA Size Standards'!$B$3:$G$3,0),FALSE)),"")</f>
        <v>200</v>
      </c>
      <c r="CV53" t="str">
        <f>IF($CQ53="Y",IF(OR(AND($CS53="Employment",$CL53&lt;$CU53),AND($CS53="Revenue",$CK53&lt;$CT53)),"YES","NO"),"")</f>
        <v>NO</v>
      </c>
      <c r="CW53" s="90" t="str">
        <f>IF($CQ53="Y",INDEX('SBA Size Standards'!$N$3:$N$12,MATCH($CK53,'SBA Size Standards'!$O$3:$O$12,1)),"")</f>
        <v>$1,000,000,001 -$125,000,000,000</v>
      </c>
      <c r="CX53" s="122" t="s">
        <v>4825</v>
      </c>
      <c r="CY53" s="122">
        <f>INDEX('NM O&amp;G Production'!$P$3:$P$537,MATCH(CX53,'NM O&amp;G Production'!$Q$3:$Q$537,0))</f>
        <v>104</v>
      </c>
      <c r="CZ53" s="122" t="str">
        <f>INDEX('NM O&amp;G Production'!$O$3:$O$537,MATCH(CY53,'NM O&amp;G Production'!$P$3:$P$537,0))</f>
        <v>No</v>
      </c>
      <c r="DA53" s="127">
        <f>INDEX('NM O&amp;G Production'!$K$3:$O$537,MATCH($CY53,'NM O&amp;G Production'!$P$3:$P$537,0),MATCH(DA$2,'NM O&amp;G Production'!$K$2:$O$2,0))</f>
        <v>0</v>
      </c>
      <c r="DB53" s="127">
        <f>INDEX('NM O&amp;G Production'!$K$3:$O$537,MATCH($CY53,'NM O&amp;G Production'!$P$3:$P$537,0),MATCH(DB$2,'NM O&amp;G Production'!$K$2:$O$2,0))</f>
        <v>0</v>
      </c>
      <c r="DC53" s="127"/>
      <c r="DD53" s="127">
        <f>INDEX('NM O&amp;G Production'!$K$3:$O$537,MATCH($CY53,'NM O&amp;G Production'!$P$3:$P$537,0),MATCH(DD$2,'NM O&amp;G Production'!$K$2:$O$2,0))</f>
        <v>0</v>
      </c>
      <c r="DE53" s="127">
        <f>INDEX('NM O&amp;G Production'!$K$3:$O$537,MATCH($CY53,'NM O&amp;G Production'!$P$3:$P$537,0),MATCH(DE$2,'NM O&amp;G Production'!$K$2:$O$2,0))</f>
        <v>0</v>
      </c>
      <c r="DF53" s="258" t="e">
        <f>CK53/(DB53+DA53)</f>
        <v>#DIV/0!</v>
      </c>
      <c r="DG53" s="57">
        <f>DD53*(12/18)*1.06*'Oil and Gas Prices'!$C$18</f>
        <v>0</v>
      </c>
      <c r="DH53" s="284">
        <f>DE53*(12/18)*'Oil and Gas Prices'!$C$4</f>
        <v>0</v>
      </c>
      <c r="DI53" s="284"/>
      <c r="DJ53" s="57" t="e">
        <f>(DG53+DH53)/(DA53+DB53)</f>
        <v>#DIV/0!</v>
      </c>
      <c r="DK53" s="18" t="e">
        <f>CK53/DI53</f>
        <v>#DIV/0!</v>
      </c>
    </row>
    <row r="54" spans="1:115" x14ac:dyDescent="0.25">
      <c r="A54" s="21" t="s">
        <v>905</v>
      </c>
      <c r="B54" s="21" t="s">
        <v>906</v>
      </c>
      <c r="C54" s="21"/>
      <c r="D54" s="21" t="s">
        <v>60</v>
      </c>
      <c r="E54" s="21" t="s">
        <v>61</v>
      </c>
      <c r="F54">
        <v>80202</v>
      </c>
      <c r="G54" t="s">
        <v>62</v>
      </c>
      <c r="I54">
        <v>116</v>
      </c>
      <c r="J54" t="s">
        <v>63</v>
      </c>
      <c r="K54" t="s">
        <v>4134</v>
      </c>
      <c r="L54" t="s">
        <v>3627</v>
      </c>
      <c r="M54">
        <v>8</v>
      </c>
      <c r="N54" t="s">
        <v>3812</v>
      </c>
      <c r="O54" s="21" t="s">
        <v>3813</v>
      </c>
      <c r="P54" s="21"/>
      <c r="Q54" s="21" t="s">
        <v>3814</v>
      </c>
      <c r="R54" s="21" t="s">
        <v>112</v>
      </c>
      <c r="S54" s="21" t="s">
        <v>94</v>
      </c>
      <c r="T54" t="s">
        <v>3815</v>
      </c>
      <c r="U54" t="s">
        <v>62</v>
      </c>
      <c r="V54">
        <v>8326361000</v>
      </c>
      <c r="W54" s="23">
        <v>1216501</v>
      </c>
      <c r="X54" s="21">
        <v>5</v>
      </c>
      <c r="Y54" s="21">
        <v>5</v>
      </c>
      <c r="Z54">
        <v>2011</v>
      </c>
      <c r="AA54" s="21" t="s">
        <v>70</v>
      </c>
      <c r="AB54" t="s">
        <v>3816</v>
      </c>
      <c r="AC54" t="s">
        <v>133</v>
      </c>
      <c r="AD54" s="21" t="s">
        <v>119</v>
      </c>
      <c r="AE54">
        <v>1382</v>
      </c>
      <c r="AF54" t="s">
        <v>120</v>
      </c>
      <c r="AG54">
        <v>4923</v>
      </c>
      <c r="AH54" t="s">
        <v>894</v>
      </c>
      <c r="AI54">
        <v>13820000</v>
      </c>
      <c r="AJ54" t="s">
        <v>119</v>
      </c>
      <c r="AK54">
        <v>49230000</v>
      </c>
      <c r="AL54" t="s">
        <v>896</v>
      </c>
      <c r="AM54" s="21">
        <v>213112</v>
      </c>
      <c r="AN54" s="21" t="s">
        <v>74</v>
      </c>
      <c r="AO54" s="21">
        <v>221210</v>
      </c>
      <c r="AP54" s="21" t="s">
        <v>166</v>
      </c>
      <c r="AQ54" s="21" t="s">
        <v>168</v>
      </c>
      <c r="AR54" t="s">
        <v>3817</v>
      </c>
      <c r="AS54" t="s">
        <v>3818</v>
      </c>
      <c r="AT54" t="s">
        <v>76</v>
      </c>
      <c r="AU54" t="s">
        <v>80</v>
      </c>
      <c r="AV54" t="s">
        <v>62</v>
      </c>
      <c r="AW54" t="s">
        <v>3817</v>
      </c>
      <c r="AX54" t="s">
        <v>3818</v>
      </c>
      <c r="AY54" t="s">
        <v>80</v>
      </c>
      <c r="AZ54" t="s">
        <v>62</v>
      </c>
      <c r="BA54" t="s">
        <v>3819</v>
      </c>
      <c r="BC54" t="s">
        <v>3820</v>
      </c>
      <c r="BD54" t="s">
        <v>80</v>
      </c>
      <c r="BE54" t="s">
        <v>62</v>
      </c>
      <c r="BF54">
        <v>3</v>
      </c>
      <c r="BG54" s="24">
        <v>17</v>
      </c>
      <c r="BH54" s="24" t="s">
        <v>3817</v>
      </c>
      <c r="BI54" s="24" t="s">
        <v>3818</v>
      </c>
      <c r="BJ54" s="24"/>
      <c r="BK54" s="24" t="s">
        <v>4306</v>
      </c>
      <c r="BL54" s="24" t="s">
        <v>161</v>
      </c>
      <c r="BM54" s="24" t="s">
        <v>94</v>
      </c>
      <c r="BN54" s="24" t="s">
        <v>4307</v>
      </c>
      <c r="BO54" s="24" t="s">
        <v>62</v>
      </c>
      <c r="BP54" s="4">
        <v>8326366000</v>
      </c>
      <c r="BQ54" s="25">
        <v>2983692000</v>
      </c>
      <c r="BR54" s="24">
        <v>13</v>
      </c>
      <c r="BS54" s="24">
        <v>602</v>
      </c>
      <c r="BT54" s="4">
        <v>2007</v>
      </c>
      <c r="BU54" s="24" t="s">
        <v>163</v>
      </c>
      <c r="BV54" s="4" t="s">
        <v>4308</v>
      </c>
      <c r="BW54" s="4" t="s">
        <v>98</v>
      </c>
      <c r="BX54" s="24" t="s">
        <v>99</v>
      </c>
      <c r="BY54" s="4">
        <v>1311</v>
      </c>
      <c r="BZ54" s="4" t="s">
        <v>100</v>
      </c>
      <c r="CA54" s="4">
        <v>7371</v>
      </c>
      <c r="CB54" s="4" t="s">
        <v>4309</v>
      </c>
      <c r="CC54" s="4">
        <v>13110000</v>
      </c>
      <c r="CD54" s="4" t="s">
        <v>276</v>
      </c>
      <c r="CE54" s="4">
        <v>73710300</v>
      </c>
      <c r="CF54" s="4" t="s">
        <v>4310</v>
      </c>
      <c r="CG54" s="24">
        <v>211120</v>
      </c>
      <c r="CH54" s="24" t="s">
        <v>104</v>
      </c>
      <c r="CI54" s="24">
        <v>541511</v>
      </c>
      <c r="CJ54" s="24" t="s">
        <v>4309</v>
      </c>
      <c r="CK54" s="19">
        <f>IF(BQ54&gt;0,BQ54,W54)</f>
        <v>2983692000</v>
      </c>
      <c r="CL54" s="20">
        <f>IF(BS54&gt;0,BS54,Y54)</f>
        <v>602</v>
      </c>
      <c r="CM54" s="34">
        <f>IF(CG54&gt;0,CG54,AM54)</f>
        <v>211120</v>
      </c>
      <c r="CN54" s="80">
        <f>IF($BH54="",1,COUNTIF($BH$3:$BH54,$BH54))</f>
        <v>1</v>
      </c>
      <c r="CO54" s="33" t="s">
        <v>4386</v>
      </c>
      <c r="CP54" t="str">
        <f>IF($K54="Standard Match","Match",IF($K54="Name Only Match",IF($CO54="Yes","Match","Name Only Match"),"No Match"))</f>
        <v>Match</v>
      </c>
      <c r="CQ54" s="35" t="str">
        <f>IF(AND(CP54="Match",CK54&gt;0,CL54&gt;0),"Y","N")</f>
        <v>Y</v>
      </c>
      <c r="CR54" s="21"/>
      <c r="CS54" t="str">
        <f>IF($CQ54="Y",VLOOKUP($CM54,'SBA Size Standards'!$B$3:$G$57,MATCH('SBA Size Standards'!$G$3,'SBA Size Standards'!$B$3:$G$3,0),FALSE),"")</f>
        <v>Employment</v>
      </c>
      <c r="CT54" s="60" t="str">
        <f>IF(CQ54="Y",IF($CS54="Employment","N/A",VLOOKUP($CM54,'SBA Size Standards'!$B$3:$G$57,MATCH('SBA Size Standards'!$E$3,'SBA Size Standards'!$B$3:$G$3,0),FALSE)),"")</f>
        <v>N/A</v>
      </c>
      <c r="CU54" s="86">
        <f>IF($CQ54="Y",IF($CS54="Revenue","N/A",VLOOKUP($CM54,'SBA Size Standards'!$B$3:$G$57,MATCH('SBA Size Standards'!$F$3,'SBA Size Standards'!$B$3:$G$3,0),FALSE)),"")</f>
        <v>1250</v>
      </c>
      <c r="CV54" t="str">
        <f>IF($CQ54="Y",IF(OR(AND($CS54="Employment",$CL54&lt;$CU54),AND($CS54="Revenue",$CK54&lt;$CT54)),"YES","NO"),"")</f>
        <v>YES</v>
      </c>
      <c r="CW54" s="90" t="str">
        <f>IF($CQ54="Y",INDEX('SBA Size Standards'!$N$3:$N$12,MATCH($CK54,'SBA Size Standards'!$O$3:$O$12,1)),"")</f>
        <v>$1,000,000,001 -$125,000,000,000</v>
      </c>
      <c r="CX54" s="122" t="s">
        <v>4950</v>
      </c>
      <c r="CY54" s="122">
        <f>INDEX('NM O&amp;G Production'!$P$3:$P$537,MATCH(CX54,'NM O&amp;G Production'!$Q$3:$Q$537,0))</f>
        <v>116</v>
      </c>
      <c r="CZ54" s="122" t="str">
        <f>INDEX('NM O&amp;G Production'!$O$3:$O$537,MATCH(CY54,'NM O&amp;G Production'!$P$3:$P$537,0))</f>
        <v>No</v>
      </c>
      <c r="DA54" s="127">
        <f>INDEX('NM O&amp;G Production'!$K$3:$O$537,MATCH($CY54,'NM O&amp;G Production'!$P$3:$P$537,0),MATCH(DA$2,'NM O&amp;G Production'!$K$2:$O$2,0))</f>
        <v>0</v>
      </c>
      <c r="DB54" s="127">
        <f>INDEX('NM O&amp;G Production'!$K$3:$O$537,MATCH($CY54,'NM O&amp;G Production'!$P$3:$P$537,0),MATCH(DB$2,'NM O&amp;G Production'!$K$2:$O$2,0))</f>
        <v>0</v>
      </c>
      <c r="DC54" s="127"/>
      <c r="DD54" s="127">
        <f>INDEX('NM O&amp;G Production'!$K$3:$O$537,MATCH($CY54,'NM O&amp;G Production'!$P$3:$P$537,0),MATCH(DD$2,'NM O&amp;G Production'!$K$2:$O$2,0))</f>
        <v>0</v>
      </c>
      <c r="DE54" s="127">
        <f>INDEX('NM O&amp;G Production'!$K$3:$O$537,MATCH($CY54,'NM O&amp;G Production'!$P$3:$P$537,0),MATCH(DE$2,'NM O&amp;G Production'!$K$2:$O$2,0))</f>
        <v>0</v>
      </c>
      <c r="DF54" s="258" t="e">
        <f>CK54/(DB54+DA54)</f>
        <v>#DIV/0!</v>
      </c>
      <c r="DG54" s="57">
        <f>DD54*(12/18)*1.06*'Oil and Gas Prices'!$C$18</f>
        <v>0</v>
      </c>
      <c r="DH54" s="284">
        <f>DE54*(12/18)*'Oil and Gas Prices'!$C$4</f>
        <v>0</v>
      </c>
      <c r="DI54" s="284"/>
      <c r="DJ54" s="57" t="e">
        <f>(DG54+DH54)/(DA54+DB54)</f>
        <v>#DIV/0!</v>
      </c>
      <c r="DK54" s="18" t="e">
        <f>CK54/DI54</f>
        <v>#DIV/0!</v>
      </c>
    </row>
    <row r="55" spans="1:115" x14ac:dyDescent="0.25">
      <c r="A55" t="s">
        <v>779</v>
      </c>
      <c r="B55" t="s">
        <v>780</v>
      </c>
      <c r="D55" t="s">
        <v>585</v>
      </c>
      <c r="E55" t="s">
        <v>184</v>
      </c>
      <c r="F55">
        <v>73102</v>
      </c>
      <c r="G55" t="s">
        <v>62</v>
      </c>
      <c r="I55">
        <v>97</v>
      </c>
      <c r="J55" t="s">
        <v>63</v>
      </c>
      <c r="K55" t="s">
        <v>4133</v>
      </c>
      <c r="L55" t="s">
        <v>64</v>
      </c>
      <c r="M55">
        <v>10</v>
      </c>
      <c r="N55" t="s">
        <v>781</v>
      </c>
      <c r="O55" t="s">
        <v>782</v>
      </c>
      <c r="P55" t="s">
        <v>783</v>
      </c>
      <c r="Q55" t="s">
        <v>780</v>
      </c>
      <c r="R55" t="s">
        <v>585</v>
      </c>
      <c r="S55" t="s">
        <v>188</v>
      </c>
      <c r="T55" t="s">
        <v>784</v>
      </c>
      <c r="U55" t="s">
        <v>62</v>
      </c>
      <c r="V55">
        <v>4052349000</v>
      </c>
      <c r="W55" s="1">
        <v>2586470000</v>
      </c>
      <c r="X55">
        <v>144</v>
      </c>
      <c r="Y55" s="2">
        <v>1260</v>
      </c>
      <c r="Z55">
        <v>1967</v>
      </c>
      <c r="AA55" t="s">
        <v>163</v>
      </c>
      <c r="AB55" t="s">
        <v>785</v>
      </c>
      <c r="AC55" t="s">
        <v>133</v>
      </c>
      <c r="AD55" t="s">
        <v>99</v>
      </c>
      <c r="AE55">
        <v>1311</v>
      </c>
      <c r="AF55" t="s">
        <v>100</v>
      </c>
      <c r="AI55">
        <v>13110101</v>
      </c>
      <c r="AJ55" t="s">
        <v>102</v>
      </c>
      <c r="AM55">
        <v>211120</v>
      </c>
      <c r="AN55" t="s">
        <v>104</v>
      </c>
      <c r="AQ55" t="s">
        <v>75</v>
      </c>
      <c r="AR55" t="s">
        <v>781</v>
      </c>
      <c r="AS55" t="s">
        <v>782</v>
      </c>
      <c r="AT55" t="s">
        <v>427</v>
      </c>
      <c r="AU55" t="s">
        <v>184</v>
      </c>
      <c r="AV55" t="s">
        <v>62</v>
      </c>
      <c r="AW55" t="s">
        <v>781</v>
      </c>
      <c r="AX55" t="s">
        <v>782</v>
      </c>
      <c r="AY55" t="s">
        <v>184</v>
      </c>
      <c r="AZ55" t="s">
        <v>62</v>
      </c>
      <c r="BE55" t="s">
        <v>62</v>
      </c>
      <c r="BF55">
        <v>1</v>
      </c>
      <c r="BG55">
        <v>21</v>
      </c>
      <c r="BH55" s="4" t="s">
        <v>781</v>
      </c>
      <c r="BI55" s="4" t="s">
        <v>782</v>
      </c>
      <c r="BJ55" s="4" t="s">
        <v>783</v>
      </c>
      <c r="BK55" s="4" t="s">
        <v>780</v>
      </c>
      <c r="BL55" s="4" t="s">
        <v>585</v>
      </c>
      <c r="BM55" s="4" t="s">
        <v>188</v>
      </c>
      <c r="BN55" s="4" t="s">
        <v>784</v>
      </c>
      <c r="BO55" s="4" t="s">
        <v>62</v>
      </c>
      <c r="BP55" s="4">
        <v>4052349000</v>
      </c>
      <c r="BQ55" s="5">
        <v>2586470000</v>
      </c>
      <c r="BR55" s="4">
        <v>144</v>
      </c>
      <c r="BS55" s="6">
        <v>1260</v>
      </c>
      <c r="BT55" s="4">
        <v>1967</v>
      </c>
      <c r="BU55" s="4" t="s">
        <v>163</v>
      </c>
      <c r="BV55" s="4" t="s">
        <v>785</v>
      </c>
      <c r="BW55" s="4" t="s">
        <v>133</v>
      </c>
      <c r="BX55" s="4" t="s">
        <v>99</v>
      </c>
      <c r="BY55" s="4">
        <v>1311</v>
      </c>
      <c r="BZ55" s="4" t="s">
        <v>100</v>
      </c>
      <c r="CC55" s="4">
        <v>13110101</v>
      </c>
      <c r="CD55" s="4" t="s">
        <v>102</v>
      </c>
      <c r="CG55" s="4">
        <v>211120</v>
      </c>
      <c r="CH55" s="4" t="s">
        <v>104</v>
      </c>
      <c r="CK55" s="19">
        <f>IF(BQ55&gt;0,BQ55,W55)</f>
        <v>2586470000</v>
      </c>
      <c r="CL55" s="20">
        <f>IF(BS55&gt;0,BS55,Y55)</f>
        <v>1260</v>
      </c>
      <c r="CM55" s="34">
        <f>IF(CG55&gt;0,CG55,AM55)</f>
        <v>211120</v>
      </c>
      <c r="CN55" s="80">
        <f>IF($BH55="",1,COUNTIF($BH$3:$BH55,$BH55))</f>
        <v>1</v>
      </c>
      <c r="CP55" t="str">
        <f>IF($K55="Standard Match","Match",IF($K55="Name Only Match",IF($CO55="Yes","Match","Name Only Match"),"No Match"))</f>
        <v>Match</v>
      </c>
      <c r="CQ55" s="35" t="str">
        <f>IF(AND(CP55="Match",CK55&gt;0,CL55&gt;0),"Y","N")</f>
        <v>Y</v>
      </c>
      <c r="CS55" t="str">
        <f>IF($CQ55="Y",VLOOKUP($CM55,'SBA Size Standards'!$B$3:$G$57,MATCH('SBA Size Standards'!$G$3,'SBA Size Standards'!$B$3:$G$3,0),FALSE),"")</f>
        <v>Employment</v>
      </c>
      <c r="CT55" s="60" t="str">
        <f>IF(CQ55="Y",IF($CS55="Employment","N/A",VLOOKUP($CM55,'SBA Size Standards'!$B$3:$G$57,MATCH('SBA Size Standards'!$E$3,'SBA Size Standards'!$B$3:$G$3,0),FALSE)),"")</f>
        <v>N/A</v>
      </c>
      <c r="CU55" s="86">
        <f>IF($CQ55="Y",IF($CS55="Revenue","N/A",VLOOKUP($CM55,'SBA Size Standards'!$B$3:$G$57,MATCH('SBA Size Standards'!$F$3,'SBA Size Standards'!$B$3:$G$3,0),FALSE)),"")</f>
        <v>1250</v>
      </c>
      <c r="CV55" t="str">
        <f>IF($CQ55="Y",IF(OR(AND($CS55="Employment",$CL55&lt;$CU55),AND($CS55="Revenue",$CK55&lt;$CT55)),"YES","NO"),"")</f>
        <v>NO</v>
      </c>
      <c r="CW55" s="90" t="str">
        <f>IF($CQ55="Y",INDEX('SBA Size Standards'!$N$3:$N$12,MATCH($CK55,'SBA Size Standards'!$O$3:$O$12,1)),"")</f>
        <v>$1,000,000,001 -$125,000,000,000</v>
      </c>
      <c r="CX55" s="122" t="s">
        <v>4579</v>
      </c>
      <c r="CY55" s="122">
        <f>INDEX('NM O&amp;G Production'!$P$3:$P$537,MATCH(CX55,'NM O&amp;G Production'!$Q$3:$Q$537,0))</f>
        <v>97</v>
      </c>
      <c r="CZ55" s="122" t="str">
        <f>INDEX('NM O&amp;G Production'!$O$3:$O$537,MATCH(CY55,'NM O&amp;G Production'!$P$3:$P$537,0))</f>
        <v>No</v>
      </c>
      <c r="DA55" s="127">
        <f>INDEX('NM O&amp;G Production'!$K$3:$O$537,MATCH($CY55,'NM O&amp;G Production'!$P$3:$P$537,0),MATCH(DA$2,'NM O&amp;G Production'!$K$2:$O$2,0))</f>
        <v>0</v>
      </c>
      <c r="DB55" s="127">
        <f>INDEX('NM O&amp;G Production'!$K$3:$O$537,MATCH($CY55,'NM O&amp;G Production'!$P$3:$P$537,0),MATCH(DB$2,'NM O&amp;G Production'!$K$2:$O$2,0))</f>
        <v>0</v>
      </c>
      <c r="DC55" s="127"/>
      <c r="DD55" s="127">
        <f>INDEX('NM O&amp;G Production'!$K$3:$O$537,MATCH($CY55,'NM O&amp;G Production'!$P$3:$P$537,0),MATCH(DD$2,'NM O&amp;G Production'!$K$2:$O$2,0))</f>
        <v>0</v>
      </c>
      <c r="DE55" s="127">
        <f>INDEX('NM O&amp;G Production'!$K$3:$O$537,MATCH($CY55,'NM O&amp;G Production'!$P$3:$P$537,0),MATCH(DE$2,'NM O&amp;G Production'!$K$2:$O$2,0))</f>
        <v>0</v>
      </c>
      <c r="DF55" s="258" t="e">
        <f>CK55/(DB55+DA55)</f>
        <v>#DIV/0!</v>
      </c>
      <c r="DG55" s="57">
        <f>DD55*(12/18)*1.06*'Oil and Gas Prices'!$C$18</f>
        <v>0</v>
      </c>
      <c r="DH55" s="284">
        <f>DE55*(12/18)*'Oil and Gas Prices'!$C$4</f>
        <v>0</v>
      </c>
      <c r="DI55" s="284"/>
      <c r="DJ55" s="57" t="e">
        <f>(DG55+DH55)/(DA55+DB55)</f>
        <v>#DIV/0!</v>
      </c>
      <c r="DK55" s="18" t="e">
        <f>CK55/DI55</f>
        <v>#DIV/0!</v>
      </c>
    </row>
    <row r="56" spans="1:115" x14ac:dyDescent="0.25">
      <c r="A56" t="s">
        <v>786</v>
      </c>
      <c r="B56" t="s">
        <v>787</v>
      </c>
      <c r="D56" t="s">
        <v>585</v>
      </c>
      <c r="E56" t="s">
        <v>184</v>
      </c>
      <c r="F56">
        <v>73126</v>
      </c>
      <c r="G56" t="s">
        <v>62</v>
      </c>
      <c r="I56">
        <v>98</v>
      </c>
      <c r="J56" t="s">
        <v>63</v>
      </c>
      <c r="K56" t="s">
        <v>4133</v>
      </c>
      <c r="L56" t="s">
        <v>279</v>
      </c>
      <c r="M56">
        <v>8</v>
      </c>
      <c r="N56" t="s">
        <v>781</v>
      </c>
      <c r="O56" t="s">
        <v>782</v>
      </c>
      <c r="P56" t="s">
        <v>783</v>
      </c>
      <c r="Q56" t="s">
        <v>780</v>
      </c>
      <c r="R56" t="s">
        <v>585</v>
      </c>
      <c r="S56" t="s">
        <v>188</v>
      </c>
      <c r="T56" t="s">
        <v>784</v>
      </c>
      <c r="U56" t="s">
        <v>62</v>
      </c>
      <c r="V56">
        <v>4052349000</v>
      </c>
      <c r="W56" s="1">
        <v>2586470000</v>
      </c>
      <c r="X56">
        <v>144</v>
      </c>
      <c r="Y56" s="2">
        <v>1260</v>
      </c>
      <c r="Z56">
        <v>1967</v>
      </c>
      <c r="AA56" t="s">
        <v>163</v>
      </c>
      <c r="AB56" t="s">
        <v>785</v>
      </c>
      <c r="AC56" t="s">
        <v>133</v>
      </c>
      <c r="AD56" t="s">
        <v>99</v>
      </c>
      <c r="AE56">
        <v>1311</v>
      </c>
      <c r="AF56" t="s">
        <v>100</v>
      </c>
      <c r="AI56">
        <v>13110101</v>
      </c>
      <c r="AJ56" t="s">
        <v>102</v>
      </c>
      <c r="AM56">
        <v>211120</v>
      </c>
      <c r="AN56" t="s">
        <v>104</v>
      </c>
      <c r="AQ56" t="s">
        <v>75</v>
      </c>
      <c r="AR56" t="s">
        <v>781</v>
      </c>
      <c r="AS56" t="s">
        <v>782</v>
      </c>
      <c r="AT56" t="s">
        <v>427</v>
      </c>
      <c r="AU56" t="s">
        <v>184</v>
      </c>
      <c r="AV56" t="s">
        <v>62</v>
      </c>
      <c r="AW56" t="s">
        <v>781</v>
      </c>
      <c r="AX56" t="s">
        <v>782</v>
      </c>
      <c r="AY56" t="s">
        <v>184</v>
      </c>
      <c r="AZ56" t="s">
        <v>62</v>
      </c>
      <c r="BE56" t="s">
        <v>62</v>
      </c>
      <c r="BF56">
        <v>1</v>
      </c>
      <c r="BG56">
        <v>21</v>
      </c>
      <c r="BH56" s="4" t="s">
        <v>781</v>
      </c>
      <c r="BI56" s="4" t="s">
        <v>782</v>
      </c>
      <c r="BJ56" s="4" t="s">
        <v>783</v>
      </c>
      <c r="BK56" s="4" t="s">
        <v>780</v>
      </c>
      <c r="BL56" s="4" t="s">
        <v>585</v>
      </c>
      <c r="BM56" s="4" t="s">
        <v>188</v>
      </c>
      <c r="BN56" s="4" t="s">
        <v>784</v>
      </c>
      <c r="BO56" s="4" t="s">
        <v>62</v>
      </c>
      <c r="BP56" s="4">
        <v>4052349000</v>
      </c>
      <c r="BQ56" s="5">
        <v>2586470000</v>
      </c>
      <c r="BR56" s="4">
        <v>144</v>
      </c>
      <c r="BS56" s="6">
        <v>1260</v>
      </c>
      <c r="BT56" s="4">
        <v>1967</v>
      </c>
      <c r="BU56" s="4" t="s">
        <v>163</v>
      </c>
      <c r="BV56" s="4" t="s">
        <v>785</v>
      </c>
      <c r="BW56" s="4" t="s">
        <v>133</v>
      </c>
      <c r="BX56" s="4" t="s">
        <v>99</v>
      </c>
      <c r="BY56" s="4">
        <v>1311</v>
      </c>
      <c r="BZ56" s="4" t="s">
        <v>100</v>
      </c>
      <c r="CC56" s="4">
        <v>13110101</v>
      </c>
      <c r="CD56" s="4" t="s">
        <v>102</v>
      </c>
      <c r="CG56" s="4">
        <v>211120</v>
      </c>
      <c r="CH56" s="4" t="s">
        <v>104</v>
      </c>
      <c r="CK56" s="19">
        <f>IF(BQ56&gt;0,BQ56,W56)</f>
        <v>2586470000</v>
      </c>
      <c r="CL56" s="20">
        <f>IF(BS56&gt;0,BS56,Y56)</f>
        <v>1260</v>
      </c>
      <c r="CM56" s="34">
        <f>IF(CG56&gt;0,CG56,AM56)</f>
        <v>211120</v>
      </c>
      <c r="CN56" s="80">
        <f>IF($BH56="",1,COUNTIF($BH$3:$BH56,$BH56))</f>
        <v>2</v>
      </c>
      <c r="CP56" t="str">
        <f>IF($K56="Standard Match","Match",IF($K56="Name Only Match",IF($CO56="Yes","Match","Name Only Match"),"No Match"))</f>
        <v>Match</v>
      </c>
      <c r="CQ56" s="35" t="str">
        <f>IF(AND(CP56="Match",CK56&gt;0,CL56&gt;0),"Y","N")</f>
        <v>Y</v>
      </c>
      <c r="CS56" t="str">
        <f>IF($CQ56="Y",VLOOKUP($CM56,'SBA Size Standards'!$B$3:$G$57,MATCH('SBA Size Standards'!$G$3,'SBA Size Standards'!$B$3:$G$3,0),FALSE),"")</f>
        <v>Employment</v>
      </c>
      <c r="CT56" s="60" t="str">
        <f>IF(CQ56="Y",IF($CS56="Employment","N/A",VLOOKUP($CM56,'SBA Size Standards'!$B$3:$G$57,MATCH('SBA Size Standards'!$E$3,'SBA Size Standards'!$B$3:$G$3,0),FALSE)),"")</f>
        <v>N/A</v>
      </c>
      <c r="CU56" s="86">
        <f>IF($CQ56="Y",IF($CS56="Revenue","N/A",VLOOKUP($CM56,'SBA Size Standards'!$B$3:$G$57,MATCH('SBA Size Standards'!$F$3,'SBA Size Standards'!$B$3:$G$3,0),FALSE)),"")</f>
        <v>1250</v>
      </c>
      <c r="CV56" t="str">
        <f>IF($CQ56="Y",IF(OR(AND($CS56="Employment",$CL56&lt;$CU56),AND($CS56="Revenue",$CK56&lt;$CT56)),"YES","NO"),"")</f>
        <v>NO</v>
      </c>
      <c r="CW56" s="90" t="str">
        <f>IF($CQ56="Y",INDEX('SBA Size Standards'!$N$3:$N$12,MATCH($CK56,'SBA Size Standards'!$O$3:$O$12,1)),"")</f>
        <v>$1,000,000,001 -$125,000,000,000</v>
      </c>
      <c r="CX56" s="122" t="s">
        <v>4822</v>
      </c>
      <c r="CY56" s="122">
        <f>INDEX('NM O&amp;G Production'!$P$3:$P$537,MATCH(CX56,'NM O&amp;G Production'!$Q$3:$Q$537,0))</f>
        <v>98</v>
      </c>
      <c r="CZ56" s="122" t="str">
        <f>INDEX('NM O&amp;G Production'!$O$3:$O$537,MATCH(CY56,'NM O&amp;G Production'!$P$3:$P$537,0))</f>
        <v>Yes</v>
      </c>
      <c r="DA56" s="127">
        <f>INDEX('NM O&amp;G Production'!$K$3:$O$537,MATCH($CY56,'NM O&amp;G Production'!$P$3:$P$537,0),MATCH(DA$2,'NM O&amp;G Production'!$K$2:$O$2,0))</f>
        <v>1</v>
      </c>
      <c r="DB56" s="127">
        <f>INDEX('NM O&amp;G Production'!$K$3:$O$537,MATCH($CY56,'NM O&amp;G Production'!$P$3:$P$537,0),MATCH(DB$2,'NM O&amp;G Production'!$K$2:$O$2,0))</f>
        <v>0</v>
      </c>
      <c r="DC56" s="127">
        <f>DA56+DB56</f>
        <v>1</v>
      </c>
      <c r="DD56" s="127">
        <f>INDEX('NM O&amp;G Production'!$K$3:$O$537,MATCH($CY56,'NM O&amp;G Production'!$P$3:$P$537,0),MATCH(DD$2,'NM O&amp;G Production'!$K$2:$O$2,0))</f>
        <v>136364</v>
      </c>
      <c r="DE56" s="127">
        <f>INDEX('NM O&amp;G Production'!$K$3:$O$537,MATCH($CY56,'NM O&amp;G Production'!$P$3:$P$537,0),MATCH(DE$2,'NM O&amp;G Production'!$K$2:$O$2,0))</f>
        <v>30959</v>
      </c>
      <c r="DF56" s="258">
        <f>CK56/(DB56+DA56)</f>
        <v>2586470000</v>
      </c>
      <c r="DG56" s="57">
        <f>DD56*(12/18)*1.06*'Oil and Gas Prices'!$C$18</f>
        <v>230309.70506666665</v>
      </c>
      <c r="DH56" s="284">
        <f>DE56*(12/18)*'Oil and Gas Prices'!$C$4</f>
        <v>928770</v>
      </c>
      <c r="DI56" s="284">
        <f>DG56+DH56</f>
        <v>1159079.7050666667</v>
      </c>
      <c r="DJ56" s="57">
        <f>(DG56+DH56)/(DA56+DB56)</f>
        <v>1159079.7050666667</v>
      </c>
      <c r="DK56" s="318"/>
    </row>
    <row r="57" spans="1:115" x14ac:dyDescent="0.25">
      <c r="A57" t="s">
        <v>1386</v>
      </c>
      <c r="B57" t="s">
        <v>1387</v>
      </c>
      <c r="D57" t="s">
        <v>112</v>
      </c>
      <c r="E57" t="s">
        <v>80</v>
      </c>
      <c r="F57">
        <v>77002</v>
      </c>
      <c r="G57" t="s">
        <v>62</v>
      </c>
      <c r="I57">
        <v>184</v>
      </c>
      <c r="J57" t="s">
        <v>63</v>
      </c>
      <c r="K57" t="s">
        <v>4133</v>
      </c>
      <c r="L57" t="s">
        <v>113</v>
      </c>
      <c r="M57">
        <v>8</v>
      </c>
      <c r="N57" t="s">
        <v>1388</v>
      </c>
      <c r="O57" t="s">
        <v>1389</v>
      </c>
      <c r="Q57" t="s">
        <v>1390</v>
      </c>
      <c r="R57" t="s">
        <v>112</v>
      </c>
      <c r="S57" t="s">
        <v>94</v>
      </c>
      <c r="T57" t="s">
        <v>1391</v>
      </c>
      <c r="U57" t="s">
        <v>62</v>
      </c>
      <c r="V57">
        <v>7138602500</v>
      </c>
      <c r="X57">
        <v>2</v>
      </c>
      <c r="Y57">
        <v>0</v>
      </c>
      <c r="AA57" t="s">
        <v>96</v>
      </c>
      <c r="AD57" t="s">
        <v>1392</v>
      </c>
      <c r="AE57">
        <v>4612</v>
      </c>
      <c r="AF57" t="s">
        <v>1393</v>
      </c>
      <c r="AI57">
        <v>46120000</v>
      </c>
      <c r="AJ57" t="s">
        <v>1392</v>
      </c>
      <c r="AM57">
        <v>486110</v>
      </c>
      <c r="AN57" t="s">
        <v>1394</v>
      </c>
      <c r="AQ57" t="s">
        <v>75</v>
      </c>
      <c r="AR57" t="s">
        <v>1395</v>
      </c>
      <c r="AS57" t="s">
        <v>1389</v>
      </c>
      <c r="AT57" t="s">
        <v>76</v>
      </c>
      <c r="AU57" t="s">
        <v>80</v>
      </c>
      <c r="AV57" t="s">
        <v>62</v>
      </c>
      <c r="AW57" t="s">
        <v>1395</v>
      </c>
      <c r="AX57" t="s">
        <v>1389</v>
      </c>
      <c r="AY57" t="s">
        <v>80</v>
      </c>
      <c r="AZ57" t="s">
        <v>62</v>
      </c>
      <c r="BB57" t="s">
        <v>1395</v>
      </c>
      <c r="BC57" t="s">
        <v>1389</v>
      </c>
      <c r="BD57" t="s">
        <v>80</v>
      </c>
      <c r="BE57" t="s">
        <v>62</v>
      </c>
      <c r="BF57">
        <v>1</v>
      </c>
      <c r="BG57">
        <v>102</v>
      </c>
      <c r="BH57" s="4" t="s">
        <v>1395</v>
      </c>
      <c r="BI57" s="4" t="s">
        <v>1389</v>
      </c>
      <c r="BJ57" s="4" t="s">
        <v>4270</v>
      </c>
      <c r="BK57" s="4" t="s">
        <v>4271</v>
      </c>
      <c r="BL57" s="4" t="s">
        <v>112</v>
      </c>
      <c r="BM57" s="4" t="s">
        <v>94</v>
      </c>
      <c r="BN57" s="4" t="s">
        <v>4272</v>
      </c>
      <c r="BO57" s="4" t="s">
        <v>62</v>
      </c>
      <c r="BP57" s="4">
        <v>7138602500</v>
      </c>
      <c r="BQ57" s="5">
        <v>2480820000</v>
      </c>
      <c r="BR57" s="4">
        <v>56</v>
      </c>
      <c r="BS57" s="6">
        <v>1200</v>
      </c>
      <c r="BT57" s="4">
        <v>1996</v>
      </c>
      <c r="BU57" s="4" t="s">
        <v>163</v>
      </c>
      <c r="BV57" s="4" t="s">
        <v>4273</v>
      </c>
      <c r="BW57" s="4" t="s">
        <v>165</v>
      </c>
      <c r="BX57" s="4" t="s">
        <v>1392</v>
      </c>
      <c r="BY57" s="4">
        <v>4612</v>
      </c>
      <c r="BZ57" s="4" t="s">
        <v>1393</v>
      </c>
      <c r="CA57" s="4">
        <v>5171</v>
      </c>
      <c r="CB57" s="4" t="s">
        <v>858</v>
      </c>
      <c r="CC57" s="4">
        <v>46120000</v>
      </c>
      <c r="CD57" s="4" t="s">
        <v>1392</v>
      </c>
      <c r="CE57" s="4">
        <v>51710000</v>
      </c>
      <c r="CF57" s="4" t="s">
        <v>4274</v>
      </c>
      <c r="CG57" s="4">
        <v>486110</v>
      </c>
      <c r="CH57" s="4" t="s">
        <v>1394</v>
      </c>
      <c r="CI57" s="4">
        <v>424710</v>
      </c>
      <c r="CJ57" s="4" t="s">
        <v>858</v>
      </c>
      <c r="CK57" s="19">
        <f>IF(BQ57&gt;0,BQ57,W57)</f>
        <v>2480820000</v>
      </c>
      <c r="CL57" s="20">
        <f>IF(BS57&gt;0,BS57,Y57)</f>
        <v>1200</v>
      </c>
      <c r="CM57" s="34">
        <f>IF(CG57&gt;0,CG57,AM57)</f>
        <v>486110</v>
      </c>
      <c r="CN57" s="80">
        <f>IF($BH57="",1,COUNTIF($BH$3:$BH57,$BH57))</f>
        <v>1</v>
      </c>
      <c r="CP57" t="str">
        <f>IF($K57="Standard Match","Match",IF($K57="Name Only Match",IF($CO57="Yes","Match","Name Only Match"),"No Match"))</f>
        <v>Match</v>
      </c>
      <c r="CQ57" s="35" t="str">
        <f>IF(AND(CP57="Match",CK57&gt;0,CL57&gt;0),"Y","N")</f>
        <v>Y</v>
      </c>
      <c r="CS57" t="str">
        <f>IF($CQ57="Y",VLOOKUP($CM57,'SBA Size Standards'!$B$3:$G$57,MATCH('SBA Size Standards'!$G$3,'SBA Size Standards'!$B$3:$G$3,0),FALSE),"")</f>
        <v>Employment</v>
      </c>
      <c r="CT57" s="60" t="str">
        <f>IF(CQ57="Y",IF($CS57="Employment","N/A",VLOOKUP($CM57,'SBA Size Standards'!$B$3:$G$57,MATCH('SBA Size Standards'!$E$3,'SBA Size Standards'!$B$3:$G$3,0),FALSE)),"")</f>
        <v>N/A</v>
      </c>
      <c r="CU57" s="86">
        <f>IF($CQ57="Y",IF($CS57="Revenue","N/A",VLOOKUP($CM57,'SBA Size Standards'!$B$3:$G$57,MATCH('SBA Size Standards'!$F$3,'SBA Size Standards'!$B$3:$G$3,0),FALSE)),"")</f>
        <v>1500</v>
      </c>
      <c r="CV57" t="str">
        <f>IF($CQ57="Y",IF(OR(AND($CS57="Employment",$CL57&lt;$CU57),AND($CS57="Revenue",$CK57&lt;$CT57)),"YES","NO"),"")</f>
        <v>YES</v>
      </c>
      <c r="CW57" s="90" t="str">
        <f>IF($CQ57="Y",INDEX('SBA Size Standards'!$N$3:$N$12,MATCH($CK57,'SBA Size Standards'!$O$3:$O$12,1)),"")</f>
        <v>$1,000,000,001 -$125,000,000,000</v>
      </c>
      <c r="CX57" s="122" t="s">
        <v>4847</v>
      </c>
      <c r="CY57" s="122">
        <f>INDEX('NM O&amp;G Production'!$P$3:$P$537,MATCH(CX57,'NM O&amp;G Production'!$Q$3:$Q$537,0))</f>
        <v>184</v>
      </c>
      <c r="CZ57" s="122" t="str">
        <f>INDEX('NM O&amp;G Production'!$O$3:$O$537,MATCH(CY57,'NM O&amp;G Production'!$P$3:$P$537,0))</f>
        <v>No</v>
      </c>
      <c r="DA57" s="127">
        <f>INDEX('NM O&amp;G Production'!$K$3:$O$537,MATCH($CY57,'NM O&amp;G Production'!$P$3:$P$537,0),MATCH(DA$2,'NM O&amp;G Production'!$K$2:$O$2,0))</f>
        <v>0</v>
      </c>
      <c r="DB57" s="127">
        <f>INDEX('NM O&amp;G Production'!$K$3:$O$537,MATCH($CY57,'NM O&amp;G Production'!$P$3:$P$537,0),MATCH(DB$2,'NM O&amp;G Production'!$K$2:$O$2,0))</f>
        <v>0</v>
      </c>
      <c r="DC57" s="127"/>
      <c r="DD57" s="127">
        <f>INDEX('NM O&amp;G Production'!$K$3:$O$537,MATCH($CY57,'NM O&amp;G Production'!$P$3:$P$537,0),MATCH(DD$2,'NM O&amp;G Production'!$K$2:$O$2,0))</f>
        <v>0</v>
      </c>
      <c r="DE57" s="127">
        <f>INDEX('NM O&amp;G Production'!$K$3:$O$537,MATCH($CY57,'NM O&amp;G Production'!$P$3:$P$537,0),MATCH(DE$2,'NM O&amp;G Production'!$K$2:$O$2,0))</f>
        <v>0</v>
      </c>
      <c r="DF57" s="258" t="e">
        <f>CK57/(DB57+DA57)</f>
        <v>#DIV/0!</v>
      </c>
      <c r="DG57" s="57">
        <f>DD57*(12/18)*1.06*'Oil and Gas Prices'!$C$18</f>
        <v>0</v>
      </c>
      <c r="DH57" s="284">
        <f>DE57*(12/18)*'Oil and Gas Prices'!$C$4</f>
        <v>0</v>
      </c>
      <c r="DI57" s="284"/>
      <c r="DJ57" s="57" t="e">
        <f>(DG57+DH57)/(DA57+DB57)</f>
        <v>#DIV/0!</v>
      </c>
      <c r="DK57" s="18" t="e">
        <f>CK57/DI57</f>
        <v>#DIV/0!</v>
      </c>
    </row>
    <row r="58" spans="1:115" x14ac:dyDescent="0.25">
      <c r="A58" t="s">
        <v>671</v>
      </c>
      <c r="B58" t="s">
        <v>672</v>
      </c>
      <c r="D58" t="s">
        <v>153</v>
      </c>
      <c r="E58" t="s">
        <v>80</v>
      </c>
      <c r="F58">
        <v>79701</v>
      </c>
      <c r="G58" t="s">
        <v>62</v>
      </c>
      <c r="I58">
        <v>83</v>
      </c>
      <c r="J58" t="s">
        <v>63</v>
      </c>
      <c r="K58" t="s">
        <v>4133</v>
      </c>
      <c r="L58" t="s">
        <v>64</v>
      </c>
      <c r="M58">
        <v>10</v>
      </c>
      <c r="N58" t="s">
        <v>673</v>
      </c>
      <c r="O58" t="s">
        <v>665</v>
      </c>
      <c r="Q58" t="s">
        <v>674</v>
      </c>
      <c r="R58" t="s">
        <v>153</v>
      </c>
      <c r="S58" t="s">
        <v>94</v>
      </c>
      <c r="T58" t="s">
        <v>675</v>
      </c>
      <c r="U58" t="s">
        <v>62</v>
      </c>
      <c r="V58">
        <v>4325717800</v>
      </c>
      <c r="X58">
        <v>40</v>
      </c>
      <c r="Y58">
        <v>0</v>
      </c>
      <c r="AA58" t="s">
        <v>96</v>
      </c>
      <c r="AB58" t="s">
        <v>676</v>
      </c>
      <c r="AC58" t="s">
        <v>677</v>
      </c>
      <c r="AD58" t="s">
        <v>119</v>
      </c>
      <c r="AE58">
        <v>1382</v>
      </c>
      <c r="AF58" t="s">
        <v>120</v>
      </c>
      <c r="AI58">
        <v>13820000</v>
      </c>
      <c r="AJ58" t="s">
        <v>119</v>
      </c>
      <c r="AM58">
        <v>213112</v>
      </c>
      <c r="AN58" t="s">
        <v>74</v>
      </c>
      <c r="AQ58" t="s">
        <v>75</v>
      </c>
      <c r="AR58" t="s">
        <v>670</v>
      </c>
      <c r="AS58" t="s">
        <v>665</v>
      </c>
      <c r="AT58" t="s">
        <v>76</v>
      </c>
      <c r="AU58" t="s">
        <v>61</v>
      </c>
      <c r="AV58" t="s">
        <v>62</v>
      </c>
      <c r="AW58" t="s">
        <v>670</v>
      </c>
      <c r="AX58" t="s">
        <v>665</v>
      </c>
      <c r="AY58" t="s">
        <v>61</v>
      </c>
      <c r="AZ58" t="s">
        <v>62</v>
      </c>
      <c r="BB58" t="s">
        <v>670</v>
      </c>
      <c r="BC58" t="s">
        <v>665</v>
      </c>
      <c r="BD58" t="s">
        <v>61</v>
      </c>
      <c r="BE58" t="s">
        <v>62</v>
      </c>
      <c r="BF58">
        <v>1</v>
      </c>
      <c r="BG58">
        <v>44</v>
      </c>
      <c r="BH58" s="4" t="s">
        <v>670</v>
      </c>
      <c r="BI58" s="4" t="s">
        <v>665</v>
      </c>
      <c r="BK58" s="4" t="s">
        <v>4155</v>
      </c>
      <c r="BL58" s="4" t="s">
        <v>60</v>
      </c>
      <c r="BM58" s="4" t="s">
        <v>68</v>
      </c>
      <c r="BN58" s="4" t="s">
        <v>4156</v>
      </c>
      <c r="BO58" s="4" t="s">
        <v>62</v>
      </c>
      <c r="BP58" s="4">
        <v>3032953995</v>
      </c>
      <c r="BQ58" s="5">
        <v>1558595000</v>
      </c>
      <c r="BR58" s="4">
        <v>183</v>
      </c>
      <c r="BS58" s="4">
        <v>910</v>
      </c>
      <c r="BT58" s="4">
        <v>2002</v>
      </c>
      <c r="BU58" s="4" t="s">
        <v>163</v>
      </c>
      <c r="BV58" s="4" t="s">
        <v>4157</v>
      </c>
      <c r="BW58" s="4" t="s">
        <v>165</v>
      </c>
      <c r="BX58" s="4" t="s">
        <v>99</v>
      </c>
      <c r="BY58" s="4">
        <v>1311</v>
      </c>
      <c r="BZ58" s="4" t="s">
        <v>100</v>
      </c>
      <c r="CC58" s="4">
        <v>13110000</v>
      </c>
      <c r="CD58" s="4" t="s">
        <v>276</v>
      </c>
      <c r="CG58" s="4">
        <v>211120</v>
      </c>
      <c r="CH58" s="4" t="s">
        <v>104</v>
      </c>
      <c r="CK58" s="19">
        <f>IF(BQ58&gt;0,BQ58,W58)</f>
        <v>1558595000</v>
      </c>
      <c r="CL58" s="20">
        <f>IF(BS58&gt;0,BS58,Y58)</f>
        <v>910</v>
      </c>
      <c r="CM58" s="34">
        <f>IF(CG58&gt;0,CG58,AM58)</f>
        <v>211120</v>
      </c>
      <c r="CN58" s="80">
        <f>IF($BH58="",1,COUNTIF($BH$3:$BH58,$BH58))</f>
        <v>1</v>
      </c>
      <c r="CP58" t="str">
        <f>IF($K58="Standard Match","Match",IF($K58="Name Only Match",IF($CO58="Yes","Match","Name Only Match"),"No Match"))</f>
        <v>Match</v>
      </c>
      <c r="CQ58" s="35" t="str">
        <f>IF(AND(CP58="Match",CK58&gt;0,CL58&gt;0),"Y","N")</f>
        <v>Y</v>
      </c>
      <c r="CS58" t="str">
        <f>IF($CQ58="Y",VLOOKUP($CM58,'SBA Size Standards'!$B$3:$G$57,MATCH('SBA Size Standards'!$G$3,'SBA Size Standards'!$B$3:$G$3,0),FALSE),"")</f>
        <v>Employment</v>
      </c>
      <c r="CT58" s="60" t="str">
        <f>IF(CQ58="Y",IF($CS58="Employment","N/A",VLOOKUP($CM58,'SBA Size Standards'!$B$3:$G$57,MATCH('SBA Size Standards'!$E$3,'SBA Size Standards'!$B$3:$G$3,0),FALSE)),"")</f>
        <v>N/A</v>
      </c>
      <c r="CU58" s="86">
        <f>IF($CQ58="Y",IF($CS58="Revenue","N/A",VLOOKUP($CM58,'SBA Size Standards'!$B$3:$G$57,MATCH('SBA Size Standards'!$F$3,'SBA Size Standards'!$B$3:$G$3,0),FALSE)),"")</f>
        <v>1250</v>
      </c>
      <c r="CV58" t="str">
        <f>IF($CQ58="Y",IF(OR(AND($CS58="Employment",$CL58&lt;$CU58),AND($CS58="Revenue",$CK58&lt;$CT58)),"YES","NO"),"")</f>
        <v>YES</v>
      </c>
      <c r="CW58" s="90" t="str">
        <f>IF($CQ58="Y",INDEX('SBA Size Standards'!$N$3:$N$12,MATCH($CK58,'SBA Size Standards'!$O$3:$O$12,1)),"")</f>
        <v>$1,000,000,001 -$125,000,000,000</v>
      </c>
      <c r="CX58" s="122" t="s">
        <v>4570</v>
      </c>
      <c r="CY58" s="122">
        <f>INDEX('NM O&amp;G Production'!$P$3:$P$537,MATCH(CX58,'NM O&amp;G Production'!$Q$3:$Q$537,0))</f>
        <v>83</v>
      </c>
      <c r="CZ58" s="122" t="str">
        <f>INDEX('NM O&amp;G Production'!$O$3:$O$537,MATCH(CY58,'NM O&amp;G Production'!$P$3:$P$537,0))</f>
        <v>Yes</v>
      </c>
      <c r="DA58" s="127">
        <f>INDEX('NM O&amp;G Production'!$K$3:$O$537,MATCH($CY58,'NM O&amp;G Production'!$P$3:$P$537,0),MATCH(DA$2,'NM O&amp;G Production'!$K$2:$O$2,0))</f>
        <v>207</v>
      </c>
      <c r="DB58" s="127">
        <f>INDEX('NM O&amp;G Production'!$K$3:$O$537,MATCH($CY58,'NM O&amp;G Production'!$P$3:$P$537,0),MATCH(DB$2,'NM O&amp;G Production'!$K$2:$O$2,0))</f>
        <v>22</v>
      </c>
      <c r="DC58" s="127">
        <f>DA58+DB58</f>
        <v>229</v>
      </c>
      <c r="DD58" s="127">
        <f>INDEX('NM O&amp;G Production'!$K$3:$O$537,MATCH($CY58,'NM O&amp;G Production'!$P$3:$P$537,0),MATCH(DD$2,'NM O&amp;G Production'!$K$2:$O$2,0))</f>
        <v>79945855</v>
      </c>
      <c r="DE58" s="127">
        <f>INDEX('NM O&amp;G Production'!$K$3:$O$537,MATCH($CY58,'NM O&amp;G Production'!$P$3:$P$537,0),MATCH(DE$2,'NM O&amp;G Production'!$K$2:$O$2,0))</f>
        <v>12679515</v>
      </c>
      <c r="DF58" s="258">
        <f>CK58/(DB58+DA58)</f>
        <v>6806091.7030567685</v>
      </c>
      <c r="DG58" s="57">
        <f>DD58*(12/18)*1.06*'Oil and Gas Prices'!$C$18</f>
        <v>135023219.37133333</v>
      </c>
      <c r="DH58" s="284">
        <f>DE58*(12/18)*'Oil and Gas Prices'!$C$4</f>
        <v>380385450</v>
      </c>
      <c r="DI58" s="284">
        <f>DG58+DH58</f>
        <v>515408669.37133336</v>
      </c>
      <c r="DJ58" s="57">
        <f>(DG58+DH58)/(DA58+DB58)</f>
        <v>2250692.8793508005</v>
      </c>
      <c r="DK58" s="318"/>
    </row>
    <row r="59" spans="1:115" x14ac:dyDescent="0.25">
      <c r="A59" t="s">
        <v>662</v>
      </c>
      <c r="B59" t="s">
        <v>663</v>
      </c>
      <c r="D59" t="s">
        <v>183</v>
      </c>
      <c r="E59" t="s">
        <v>184</v>
      </c>
      <c r="F59">
        <v>74103</v>
      </c>
      <c r="G59" t="s">
        <v>62</v>
      </c>
      <c r="I59">
        <v>82</v>
      </c>
      <c r="J59" t="s">
        <v>63</v>
      </c>
      <c r="K59" t="s">
        <v>4133</v>
      </c>
      <c r="L59" t="s">
        <v>64</v>
      </c>
      <c r="M59">
        <v>10</v>
      </c>
      <c r="N59" t="s">
        <v>664</v>
      </c>
      <c r="O59" t="s">
        <v>665</v>
      </c>
      <c r="Q59" t="s">
        <v>666</v>
      </c>
      <c r="R59" t="s">
        <v>183</v>
      </c>
      <c r="S59" t="s">
        <v>188</v>
      </c>
      <c r="T59" t="s">
        <v>667</v>
      </c>
      <c r="U59" t="s">
        <v>62</v>
      </c>
      <c r="V59">
        <v>9185851100</v>
      </c>
      <c r="X59">
        <v>250</v>
      </c>
      <c r="Y59">
        <v>0</v>
      </c>
      <c r="AA59" t="s">
        <v>96</v>
      </c>
      <c r="AB59" t="s">
        <v>668</v>
      </c>
      <c r="AC59" t="s">
        <v>669</v>
      </c>
      <c r="AD59" t="s">
        <v>119</v>
      </c>
      <c r="AE59">
        <v>1382</v>
      </c>
      <c r="AF59" t="s">
        <v>120</v>
      </c>
      <c r="AI59">
        <v>13820000</v>
      </c>
      <c r="AJ59" t="s">
        <v>119</v>
      </c>
      <c r="AM59">
        <v>213112</v>
      </c>
      <c r="AN59" t="s">
        <v>74</v>
      </c>
      <c r="AQ59" t="s">
        <v>75</v>
      </c>
      <c r="AR59" t="s">
        <v>670</v>
      </c>
      <c r="AS59" t="s">
        <v>665</v>
      </c>
      <c r="AT59" t="s">
        <v>76</v>
      </c>
      <c r="AU59" t="s">
        <v>61</v>
      </c>
      <c r="AV59" t="s">
        <v>62</v>
      </c>
      <c r="AW59" t="s">
        <v>670</v>
      </c>
      <c r="AX59" t="s">
        <v>665</v>
      </c>
      <c r="AY59" t="s">
        <v>61</v>
      </c>
      <c r="AZ59" t="s">
        <v>62</v>
      </c>
      <c r="BB59" t="s">
        <v>670</v>
      </c>
      <c r="BC59" t="s">
        <v>665</v>
      </c>
      <c r="BD59" t="s">
        <v>61</v>
      </c>
      <c r="BE59" t="s">
        <v>62</v>
      </c>
      <c r="BF59">
        <v>1</v>
      </c>
      <c r="BG59">
        <v>44</v>
      </c>
      <c r="BH59" s="4" t="s">
        <v>670</v>
      </c>
      <c r="BI59" s="4" t="s">
        <v>665</v>
      </c>
      <c r="BK59" s="4" t="s">
        <v>4155</v>
      </c>
      <c r="BL59" s="4" t="s">
        <v>60</v>
      </c>
      <c r="BM59" s="4" t="s">
        <v>68</v>
      </c>
      <c r="BN59" s="4" t="s">
        <v>4156</v>
      </c>
      <c r="BO59" s="4" t="s">
        <v>62</v>
      </c>
      <c r="BP59" s="4">
        <v>3032953995</v>
      </c>
      <c r="BQ59" s="5">
        <v>1558595000</v>
      </c>
      <c r="BR59" s="4">
        <v>183</v>
      </c>
      <c r="BS59" s="4">
        <v>910</v>
      </c>
      <c r="BT59" s="4">
        <v>2002</v>
      </c>
      <c r="BU59" s="4" t="s">
        <v>163</v>
      </c>
      <c r="BV59" s="4" t="s">
        <v>4157</v>
      </c>
      <c r="BW59" s="4" t="s">
        <v>165</v>
      </c>
      <c r="BX59" s="4" t="s">
        <v>99</v>
      </c>
      <c r="BY59" s="4">
        <v>1311</v>
      </c>
      <c r="BZ59" s="4" t="s">
        <v>100</v>
      </c>
      <c r="CC59" s="4">
        <v>13110000</v>
      </c>
      <c r="CD59" s="4" t="s">
        <v>276</v>
      </c>
      <c r="CG59" s="4">
        <v>211120</v>
      </c>
      <c r="CH59" s="4" t="s">
        <v>104</v>
      </c>
      <c r="CK59" s="19">
        <f>IF(BQ59&gt;0,BQ59,W59)</f>
        <v>1558595000</v>
      </c>
      <c r="CL59" s="20">
        <f>IF(BS59&gt;0,BS59,Y59)</f>
        <v>910</v>
      </c>
      <c r="CM59" s="34">
        <f>IF(CG59&gt;0,CG59,AM59)</f>
        <v>211120</v>
      </c>
      <c r="CN59" s="80">
        <f>IF($BH59="",1,COUNTIF($BH$3:$BH59,$BH59))</f>
        <v>2</v>
      </c>
      <c r="CP59" t="str">
        <f>IF($K59="Standard Match","Match",IF($K59="Name Only Match",IF($CO59="Yes","Match","Name Only Match"),"No Match"))</f>
        <v>Match</v>
      </c>
      <c r="CQ59" s="35" t="str">
        <f>IF(AND(CP59="Match",CK59&gt;0,CL59&gt;0),"Y","N")</f>
        <v>Y</v>
      </c>
      <c r="CS59" t="str">
        <f>IF($CQ59="Y",VLOOKUP($CM59,'SBA Size Standards'!$B$3:$G$57,MATCH('SBA Size Standards'!$G$3,'SBA Size Standards'!$B$3:$G$3,0),FALSE),"")</f>
        <v>Employment</v>
      </c>
      <c r="CT59" s="60" t="str">
        <f>IF(CQ59="Y",IF($CS59="Employment","N/A",VLOOKUP($CM59,'SBA Size Standards'!$B$3:$G$57,MATCH('SBA Size Standards'!$E$3,'SBA Size Standards'!$B$3:$G$3,0),FALSE)),"")</f>
        <v>N/A</v>
      </c>
      <c r="CU59" s="86">
        <f>IF($CQ59="Y",IF($CS59="Revenue","N/A",VLOOKUP($CM59,'SBA Size Standards'!$B$3:$G$57,MATCH('SBA Size Standards'!$F$3,'SBA Size Standards'!$B$3:$G$3,0),FALSE)),"")</f>
        <v>1250</v>
      </c>
      <c r="CV59" t="str">
        <f>IF($CQ59="Y",IF(OR(AND($CS59="Employment",$CL59&lt;$CU59),AND($CS59="Revenue",$CK59&lt;$CT59)),"YES","NO"),"")</f>
        <v>YES</v>
      </c>
      <c r="CW59" s="90" t="str">
        <f>IF($CQ59="Y",INDEX('SBA Size Standards'!$N$3:$N$12,MATCH($CK59,'SBA Size Standards'!$O$3:$O$12,1)),"")</f>
        <v>$1,000,000,001 -$125,000,000,000</v>
      </c>
      <c r="CX59" s="122" t="s">
        <v>4569</v>
      </c>
      <c r="CY59" s="122">
        <f>INDEX('NM O&amp;G Production'!$P$3:$P$537,MATCH(CX59,'NM O&amp;G Production'!$Q$3:$Q$537,0))</f>
        <v>82</v>
      </c>
      <c r="CZ59" s="122" t="str">
        <f>INDEX('NM O&amp;G Production'!$O$3:$O$537,MATCH(CY59,'NM O&amp;G Production'!$P$3:$P$537,0))</f>
        <v>Yes</v>
      </c>
      <c r="DA59" s="127">
        <f>INDEX('NM O&amp;G Production'!$K$3:$O$537,MATCH($CY59,'NM O&amp;G Production'!$P$3:$P$537,0),MATCH(DA$2,'NM O&amp;G Production'!$K$2:$O$2,0))</f>
        <v>251</v>
      </c>
      <c r="DB59" s="127">
        <f>INDEX('NM O&amp;G Production'!$K$3:$O$537,MATCH($CY59,'NM O&amp;G Production'!$P$3:$P$537,0),MATCH(DB$2,'NM O&amp;G Production'!$K$2:$O$2,0))</f>
        <v>161</v>
      </c>
      <c r="DC59" s="127">
        <f>DA59+DB59</f>
        <v>412</v>
      </c>
      <c r="DD59" s="127">
        <f>INDEX('NM O&amp;G Production'!$K$3:$O$537,MATCH($CY59,'NM O&amp;G Production'!$P$3:$P$537,0),MATCH(DD$2,'NM O&amp;G Production'!$K$2:$O$2,0))</f>
        <v>26190309</v>
      </c>
      <c r="DE59" s="127">
        <f>INDEX('NM O&amp;G Production'!$K$3:$O$537,MATCH($CY59,'NM O&amp;G Production'!$P$3:$P$537,0),MATCH(DE$2,'NM O&amp;G Production'!$K$2:$O$2,0))</f>
        <v>3918304</v>
      </c>
      <c r="DF59" s="258">
        <f>CK59/(DB59+DA59)</f>
        <v>3782997.5728155342</v>
      </c>
      <c r="DG59" s="57">
        <f>DD59*(12/18)*1.06*'Oil and Gas Prices'!$C$18</f>
        <v>44233685.880400002</v>
      </c>
      <c r="DH59" s="284">
        <f>DE59*(12/18)*'Oil and Gas Prices'!$C$4</f>
        <v>117549120</v>
      </c>
      <c r="DI59" s="284">
        <f>DG59+DH59</f>
        <v>161782805.8804</v>
      </c>
      <c r="DJ59" s="57">
        <f>(DG59+DH59)/(DA59+DB59)</f>
        <v>392676.71330194175</v>
      </c>
      <c r="DK59" s="318"/>
    </row>
    <row r="60" spans="1:115" x14ac:dyDescent="0.25">
      <c r="A60" t="s">
        <v>2870</v>
      </c>
      <c r="B60" t="s">
        <v>2871</v>
      </c>
      <c r="D60" t="s">
        <v>183</v>
      </c>
      <c r="E60" t="s">
        <v>184</v>
      </c>
      <c r="F60">
        <v>74103</v>
      </c>
      <c r="G60" t="s">
        <v>62</v>
      </c>
      <c r="I60">
        <v>417</v>
      </c>
      <c r="J60" t="s">
        <v>63</v>
      </c>
      <c r="K60" t="s">
        <v>4133</v>
      </c>
      <c r="L60" t="s">
        <v>64</v>
      </c>
      <c r="M60">
        <v>10</v>
      </c>
      <c r="N60" t="s">
        <v>2872</v>
      </c>
      <c r="O60" t="s">
        <v>2873</v>
      </c>
      <c r="P60" t="s">
        <v>2874</v>
      </c>
      <c r="Q60" t="s">
        <v>2875</v>
      </c>
      <c r="R60" t="s">
        <v>183</v>
      </c>
      <c r="S60" t="s">
        <v>188</v>
      </c>
      <c r="T60" t="s">
        <v>2876</v>
      </c>
      <c r="U60" t="s">
        <v>62</v>
      </c>
      <c r="V60">
        <v>9185831791</v>
      </c>
      <c r="W60" s="1">
        <v>130613136</v>
      </c>
      <c r="X60">
        <v>70</v>
      </c>
      <c r="Y60">
        <v>137</v>
      </c>
      <c r="Z60">
        <v>1971</v>
      </c>
      <c r="AA60" t="s">
        <v>163</v>
      </c>
      <c r="AB60" t="s">
        <v>2877</v>
      </c>
      <c r="AC60" t="s">
        <v>133</v>
      </c>
      <c r="AD60" t="s">
        <v>99</v>
      </c>
      <c r="AE60">
        <v>1311</v>
      </c>
      <c r="AF60" t="s">
        <v>100</v>
      </c>
      <c r="AG60">
        <v>2911</v>
      </c>
      <c r="AH60" t="s">
        <v>774</v>
      </c>
      <c r="AI60">
        <v>13110101</v>
      </c>
      <c r="AJ60" t="s">
        <v>102</v>
      </c>
      <c r="AK60">
        <v>29110000</v>
      </c>
      <c r="AL60" t="s">
        <v>1320</v>
      </c>
      <c r="AM60">
        <v>211120</v>
      </c>
      <c r="AN60" t="s">
        <v>104</v>
      </c>
      <c r="AO60">
        <v>324110</v>
      </c>
      <c r="AP60" t="s">
        <v>776</v>
      </c>
      <c r="AQ60" t="s">
        <v>168</v>
      </c>
      <c r="AR60" t="s">
        <v>2878</v>
      </c>
      <c r="AS60" t="s">
        <v>2879</v>
      </c>
      <c r="AT60" t="s">
        <v>76</v>
      </c>
      <c r="AU60" t="s">
        <v>184</v>
      </c>
      <c r="AV60" t="s">
        <v>62</v>
      </c>
      <c r="AW60" t="s">
        <v>2878</v>
      </c>
      <c r="AX60" t="s">
        <v>2879</v>
      </c>
      <c r="AY60" t="s">
        <v>184</v>
      </c>
      <c r="AZ60" t="s">
        <v>62</v>
      </c>
      <c r="BA60" t="s">
        <v>2880</v>
      </c>
      <c r="BC60" t="s">
        <v>2881</v>
      </c>
      <c r="BD60" t="s">
        <v>184</v>
      </c>
      <c r="BE60" t="s">
        <v>62</v>
      </c>
      <c r="BF60">
        <v>3</v>
      </c>
      <c r="BG60">
        <v>11</v>
      </c>
      <c r="BH60" s="4" t="s">
        <v>2878</v>
      </c>
      <c r="BI60" s="4" t="s">
        <v>2879</v>
      </c>
      <c r="BK60" s="4" t="s">
        <v>4208</v>
      </c>
      <c r="BL60" s="4" t="s">
        <v>183</v>
      </c>
      <c r="BM60" s="4" t="s">
        <v>188</v>
      </c>
      <c r="BN60" s="4" t="s">
        <v>4209</v>
      </c>
      <c r="BO60" s="4" t="s">
        <v>62</v>
      </c>
      <c r="BP60" s="4">
        <v>9185911791</v>
      </c>
      <c r="BQ60" s="5">
        <v>1284869598</v>
      </c>
      <c r="BR60" s="4">
        <v>13</v>
      </c>
      <c r="BS60" s="6">
        <v>1505</v>
      </c>
      <c r="BT60" s="4">
        <v>2013</v>
      </c>
      <c r="BU60" s="4" t="s">
        <v>163</v>
      </c>
      <c r="BV60" s="4" t="s">
        <v>4210</v>
      </c>
      <c r="BW60" s="4" t="s">
        <v>98</v>
      </c>
      <c r="BX60" s="4" t="s">
        <v>119</v>
      </c>
      <c r="BY60" s="4">
        <v>1311</v>
      </c>
      <c r="BZ60" s="4" t="s">
        <v>100</v>
      </c>
      <c r="CC60" s="4">
        <v>13110101</v>
      </c>
      <c r="CD60" s="4" t="s">
        <v>102</v>
      </c>
      <c r="CG60" s="4">
        <v>213112</v>
      </c>
      <c r="CH60" s="4" t="s">
        <v>74</v>
      </c>
      <c r="CK60" s="19">
        <f>IF(BQ60&gt;0,BQ60,W60)</f>
        <v>1284869598</v>
      </c>
      <c r="CL60" s="20">
        <f>IF(BS60&gt;0,BS60,Y60)</f>
        <v>1505</v>
      </c>
      <c r="CM60" s="34">
        <f>IF(CG60&gt;0,CG60,AM60)</f>
        <v>213112</v>
      </c>
      <c r="CN60" s="80">
        <f>IF($BH60="",1,COUNTIF($BH$3:$BH60,$BH60))</f>
        <v>1</v>
      </c>
      <c r="CP60" t="str">
        <f>IF($K60="Standard Match","Match",IF($K60="Name Only Match",IF($CO60="Yes","Match","Name Only Match"),"No Match"))</f>
        <v>Match</v>
      </c>
      <c r="CQ60" s="35" t="str">
        <f>IF(AND(CP60="Match",CK60&gt;0,CL60&gt;0),"Y","N")</f>
        <v>Y</v>
      </c>
      <c r="CS60" t="str">
        <f>IF($CQ60="Y",VLOOKUP($CM60,'SBA Size Standards'!$B$3:$G$57,MATCH('SBA Size Standards'!$G$3,'SBA Size Standards'!$B$3:$G$3,0),FALSE),"")</f>
        <v>Revenue</v>
      </c>
      <c r="CT60" s="60">
        <f>IF(CQ60="Y",IF($CS60="Employment","N/A",VLOOKUP($CM60,'SBA Size Standards'!$B$3:$G$57,MATCH('SBA Size Standards'!$E$3,'SBA Size Standards'!$B$3:$G$3,0),FALSE)),"")</f>
        <v>41500000</v>
      </c>
      <c r="CU60" s="86" t="str">
        <f>IF($CQ60="Y",IF($CS60="Revenue","N/A",VLOOKUP($CM60,'SBA Size Standards'!$B$3:$G$57,MATCH('SBA Size Standards'!$F$3,'SBA Size Standards'!$B$3:$G$3,0),FALSE)),"")</f>
        <v>N/A</v>
      </c>
      <c r="CV60" t="str">
        <f>IF($CQ60="Y",IF(OR(AND($CS60="Employment",$CL60&lt;$CU60),AND($CS60="Revenue",$CK60&lt;$CT60)),"YES","NO"),"")</f>
        <v>NO</v>
      </c>
      <c r="CW60" s="90" t="str">
        <f>IF($CQ60="Y",INDEX('SBA Size Standards'!$N$3:$N$12,MATCH($CK60,'SBA Size Standards'!$O$3:$O$12,1)),"")</f>
        <v>$1,000,000,001 -$125,000,000,000</v>
      </c>
      <c r="CX60" s="122" t="s">
        <v>4735</v>
      </c>
      <c r="CY60" s="122">
        <f>INDEX('NM O&amp;G Production'!$P$3:$P$537,MATCH(CX60,'NM O&amp;G Production'!$Q$3:$Q$537,0))</f>
        <v>417</v>
      </c>
      <c r="CZ60" s="122" t="str">
        <f>INDEX('NM O&amp;G Production'!$O$3:$O$537,MATCH(CY60,'NM O&amp;G Production'!$P$3:$P$537,0))</f>
        <v>No</v>
      </c>
      <c r="DA60" s="127">
        <f>INDEX('NM O&amp;G Production'!$K$3:$O$537,MATCH($CY60,'NM O&amp;G Production'!$P$3:$P$537,0),MATCH(DA$2,'NM O&amp;G Production'!$K$2:$O$2,0))</f>
        <v>0</v>
      </c>
      <c r="DB60" s="127">
        <f>INDEX('NM O&amp;G Production'!$K$3:$O$537,MATCH($CY60,'NM O&amp;G Production'!$P$3:$P$537,0),MATCH(DB$2,'NM O&amp;G Production'!$K$2:$O$2,0))</f>
        <v>0</v>
      </c>
      <c r="DC60" s="127"/>
      <c r="DD60" s="127">
        <f>INDEX('NM O&amp;G Production'!$K$3:$O$537,MATCH($CY60,'NM O&amp;G Production'!$P$3:$P$537,0),MATCH(DD$2,'NM O&amp;G Production'!$K$2:$O$2,0))</f>
        <v>0</v>
      </c>
      <c r="DE60" s="127">
        <f>INDEX('NM O&amp;G Production'!$K$3:$O$537,MATCH($CY60,'NM O&amp;G Production'!$P$3:$P$537,0),MATCH(DE$2,'NM O&amp;G Production'!$K$2:$O$2,0))</f>
        <v>0</v>
      </c>
      <c r="DF60" s="258" t="e">
        <f>CK60/(DB60+DA60)</f>
        <v>#DIV/0!</v>
      </c>
      <c r="DG60" s="57">
        <f>DD60*(12/18)*1.06*'Oil and Gas Prices'!$C$18</f>
        <v>0</v>
      </c>
      <c r="DH60" s="284">
        <f>DE60*(12/18)*'Oil and Gas Prices'!$C$4</f>
        <v>0</v>
      </c>
      <c r="DI60" s="284"/>
      <c r="DJ60" s="57" t="e">
        <f>(DG60+DH60)/(DA60+DB60)</f>
        <v>#DIV/0!</v>
      </c>
      <c r="DK60" s="18" t="e">
        <f>CK60/DI60</f>
        <v>#DIV/0!</v>
      </c>
    </row>
    <row r="61" spans="1:115" x14ac:dyDescent="0.25">
      <c r="A61" t="s">
        <v>2289</v>
      </c>
      <c r="B61" t="s">
        <v>2290</v>
      </c>
      <c r="D61" t="s">
        <v>2291</v>
      </c>
      <c r="E61" t="s">
        <v>80</v>
      </c>
      <c r="F61">
        <v>77487</v>
      </c>
      <c r="G61" t="s">
        <v>62</v>
      </c>
      <c r="I61">
        <v>325</v>
      </c>
      <c r="J61" t="s">
        <v>63</v>
      </c>
      <c r="K61" t="s">
        <v>4133</v>
      </c>
      <c r="L61" t="s">
        <v>149</v>
      </c>
      <c r="M61">
        <v>10</v>
      </c>
      <c r="N61" t="s">
        <v>2292</v>
      </c>
      <c r="O61" t="s">
        <v>2293</v>
      </c>
      <c r="P61" t="s">
        <v>2294</v>
      </c>
      <c r="Q61" t="s">
        <v>2295</v>
      </c>
      <c r="R61" t="s">
        <v>2296</v>
      </c>
      <c r="S61" t="s">
        <v>94</v>
      </c>
      <c r="T61" t="s">
        <v>2297</v>
      </c>
      <c r="U61" t="s">
        <v>62</v>
      </c>
      <c r="V61">
        <v>2812637000</v>
      </c>
      <c r="W61" s="1">
        <v>504424451</v>
      </c>
      <c r="X61">
        <v>450</v>
      </c>
      <c r="Y61" s="2">
        <v>1500</v>
      </c>
      <c r="Z61">
        <v>1994</v>
      </c>
      <c r="AA61" t="s">
        <v>163</v>
      </c>
      <c r="AB61" t="s">
        <v>2298</v>
      </c>
      <c r="AC61" t="s">
        <v>242</v>
      </c>
      <c r="AD61" t="s">
        <v>2299</v>
      </c>
      <c r="AE61">
        <v>5169</v>
      </c>
      <c r="AF61" t="s">
        <v>2300</v>
      </c>
      <c r="AI61">
        <v>51690000</v>
      </c>
      <c r="AJ61" t="s">
        <v>2299</v>
      </c>
      <c r="AM61">
        <v>424690</v>
      </c>
      <c r="AN61" t="s">
        <v>2301</v>
      </c>
      <c r="AQ61" t="s">
        <v>168</v>
      </c>
      <c r="AR61" t="s">
        <v>2302</v>
      </c>
      <c r="AS61" t="s">
        <v>2303</v>
      </c>
      <c r="AT61" t="s">
        <v>76</v>
      </c>
      <c r="AU61" t="s">
        <v>80</v>
      </c>
      <c r="AV61" t="s">
        <v>62</v>
      </c>
      <c r="AW61" t="s">
        <v>2302</v>
      </c>
      <c r="AX61" t="s">
        <v>2303</v>
      </c>
      <c r="AY61" t="s">
        <v>80</v>
      </c>
      <c r="AZ61" t="s">
        <v>62</v>
      </c>
      <c r="BA61" t="s">
        <v>2304</v>
      </c>
      <c r="BC61" t="s">
        <v>2305</v>
      </c>
      <c r="BD61" t="s">
        <v>80</v>
      </c>
      <c r="BE61" t="s">
        <v>62</v>
      </c>
      <c r="BF61">
        <v>3</v>
      </c>
      <c r="BG61">
        <v>406</v>
      </c>
      <c r="BH61" s="4" t="s">
        <v>2302</v>
      </c>
      <c r="BI61" s="4" t="s">
        <v>2303</v>
      </c>
      <c r="BK61" s="4" t="s">
        <v>4197</v>
      </c>
      <c r="BL61" s="4" t="s">
        <v>161</v>
      </c>
      <c r="BM61" s="4" t="s">
        <v>94</v>
      </c>
      <c r="BN61" s="4" t="s">
        <v>4198</v>
      </c>
      <c r="BO61" s="4" t="s">
        <v>62</v>
      </c>
      <c r="BP61" s="4">
        <v>2814035772</v>
      </c>
      <c r="BQ61" s="5">
        <v>1131251000</v>
      </c>
      <c r="BR61" s="4">
        <v>79</v>
      </c>
      <c r="BS61" s="6">
        <v>3000</v>
      </c>
      <c r="BT61" s="4">
        <v>2017</v>
      </c>
      <c r="BU61" s="4" t="s">
        <v>163</v>
      </c>
      <c r="BV61" s="4" t="s">
        <v>4199</v>
      </c>
      <c r="BW61" s="4" t="s">
        <v>98</v>
      </c>
      <c r="BX61" s="4" t="s">
        <v>1905</v>
      </c>
      <c r="BY61" s="4">
        <v>3533</v>
      </c>
      <c r="BZ61" s="4" t="s">
        <v>1906</v>
      </c>
      <c r="CA61" s="4">
        <v>5084</v>
      </c>
      <c r="CB61" s="4" t="s">
        <v>1248</v>
      </c>
      <c r="CC61" s="4">
        <v>35339902</v>
      </c>
      <c r="CD61" s="4" t="s">
        <v>4200</v>
      </c>
      <c r="CE61" s="4">
        <v>50840404</v>
      </c>
      <c r="CF61" s="4" t="s">
        <v>4201</v>
      </c>
      <c r="CG61" s="4">
        <v>333132</v>
      </c>
      <c r="CH61" s="4" t="s">
        <v>1908</v>
      </c>
      <c r="CI61" s="4">
        <v>423830</v>
      </c>
      <c r="CJ61" s="4" t="s">
        <v>1252</v>
      </c>
      <c r="CK61" s="19">
        <f>IF(BQ61&gt;0,BQ61,W61)</f>
        <v>1131251000</v>
      </c>
      <c r="CL61" s="20">
        <f>IF(BS61&gt;0,BS61,Y61)</f>
        <v>3000</v>
      </c>
      <c r="CM61" s="34">
        <f>IF(CG61&gt;0,CG61,AM61)</f>
        <v>333132</v>
      </c>
      <c r="CN61" s="80">
        <f>IF($BH61="",1,COUNTIF($BH$3:$BH61,$BH61))</f>
        <v>1</v>
      </c>
      <c r="CP61" t="str">
        <f>IF($K61="Standard Match","Match",IF($K61="Name Only Match",IF($CO61="Yes","Match","Name Only Match"),"No Match"))</f>
        <v>Match</v>
      </c>
      <c r="CQ61" s="35" t="str">
        <f>IF(AND(CP61="Match",CK61&gt;0,CL61&gt;0),"Y","N")</f>
        <v>Y</v>
      </c>
      <c r="CS61" t="str">
        <f>IF($CQ61="Y",VLOOKUP($CM61,'SBA Size Standards'!$B$3:$G$57,MATCH('SBA Size Standards'!$G$3,'SBA Size Standards'!$B$3:$G$3,0),FALSE),"")</f>
        <v>Employment</v>
      </c>
      <c r="CT61" s="60" t="str">
        <f>IF(CQ61="Y",IF($CS61="Employment","N/A",VLOOKUP($CM61,'SBA Size Standards'!$B$3:$G$57,MATCH('SBA Size Standards'!$E$3,'SBA Size Standards'!$B$3:$G$3,0),FALSE)),"")</f>
        <v>N/A</v>
      </c>
      <c r="CU61" s="86">
        <f>IF($CQ61="Y",IF($CS61="Revenue","N/A",VLOOKUP($CM61,'SBA Size Standards'!$B$3:$G$57,MATCH('SBA Size Standards'!$F$3,'SBA Size Standards'!$B$3:$G$3,0),FALSE)),"")</f>
        <v>1250</v>
      </c>
      <c r="CV61" t="str">
        <f>IF($CQ61="Y",IF(OR(AND($CS61="Employment",$CL61&lt;$CU61),AND($CS61="Revenue",$CK61&lt;$CT61)),"YES","NO"),"")</f>
        <v>NO</v>
      </c>
      <c r="CW61" s="90" t="str">
        <f>IF($CQ61="Y",INDEX('SBA Size Standards'!$N$3:$N$12,MATCH($CK61,'SBA Size Standards'!$O$3:$O$12,1)),"")</f>
        <v>$1,000,000,001 -$125,000,000,000</v>
      </c>
      <c r="CX61" s="122" t="s">
        <v>4688</v>
      </c>
      <c r="CY61" s="122">
        <f>INDEX('NM O&amp;G Production'!$P$3:$P$537,MATCH(CX61,'NM O&amp;G Production'!$Q$3:$Q$537,0))</f>
        <v>325</v>
      </c>
      <c r="CZ61" s="122" t="str">
        <f>INDEX('NM O&amp;G Production'!$O$3:$O$537,MATCH(CY61,'NM O&amp;G Production'!$P$3:$P$537,0))</f>
        <v>No</v>
      </c>
      <c r="DA61" s="127">
        <f>INDEX('NM O&amp;G Production'!$K$3:$O$537,MATCH($CY61,'NM O&amp;G Production'!$P$3:$P$537,0),MATCH(DA$2,'NM O&amp;G Production'!$K$2:$O$2,0))</f>
        <v>0</v>
      </c>
      <c r="DB61" s="127">
        <f>INDEX('NM O&amp;G Production'!$K$3:$O$537,MATCH($CY61,'NM O&amp;G Production'!$P$3:$P$537,0),MATCH(DB$2,'NM O&amp;G Production'!$K$2:$O$2,0))</f>
        <v>0</v>
      </c>
      <c r="DC61" s="127"/>
      <c r="DD61" s="127">
        <f>INDEX('NM O&amp;G Production'!$K$3:$O$537,MATCH($CY61,'NM O&amp;G Production'!$P$3:$P$537,0),MATCH(DD$2,'NM O&amp;G Production'!$K$2:$O$2,0))</f>
        <v>0</v>
      </c>
      <c r="DE61" s="127">
        <f>INDEX('NM O&amp;G Production'!$K$3:$O$537,MATCH($CY61,'NM O&amp;G Production'!$P$3:$P$537,0),MATCH(DE$2,'NM O&amp;G Production'!$K$2:$O$2,0))</f>
        <v>0</v>
      </c>
      <c r="DF61" s="258" t="e">
        <f>CK61/(DB61+DA61)</f>
        <v>#DIV/0!</v>
      </c>
      <c r="DG61" s="57">
        <f>DD61*(12/18)*1.06*'Oil and Gas Prices'!$C$18</f>
        <v>0</v>
      </c>
      <c r="DH61" s="284">
        <f>DE61*(12/18)*'Oil and Gas Prices'!$C$4</f>
        <v>0</v>
      </c>
      <c r="DI61" s="284"/>
      <c r="DJ61" s="57" t="e">
        <f>(DG61+DH61)/(DA61+DB61)</f>
        <v>#DIV/0!</v>
      </c>
      <c r="DK61" s="18" t="e">
        <f>CK61/DI61</f>
        <v>#DIV/0!</v>
      </c>
    </row>
    <row r="62" spans="1:115" x14ac:dyDescent="0.25">
      <c r="A62" t="s">
        <v>2893</v>
      </c>
      <c r="B62" t="s">
        <v>964</v>
      </c>
      <c r="D62" t="s">
        <v>378</v>
      </c>
      <c r="E62" t="s">
        <v>80</v>
      </c>
      <c r="F62">
        <v>75240</v>
      </c>
      <c r="G62" t="s">
        <v>62</v>
      </c>
      <c r="I62">
        <v>421</v>
      </c>
      <c r="J62" t="s">
        <v>63</v>
      </c>
      <c r="K62" t="s">
        <v>4133</v>
      </c>
      <c r="L62" t="s">
        <v>1810</v>
      </c>
      <c r="M62">
        <v>9</v>
      </c>
      <c r="N62" t="s">
        <v>2894</v>
      </c>
      <c r="O62" t="s">
        <v>2895</v>
      </c>
      <c r="Q62" t="s">
        <v>968</v>
      </c>
      <c r="R62" t="s">
        <v>378</v>
      </c>
      <c r="S62" t="s">
        <v>94</v>
      </c>
      <c r="T62" t="s">
        <v>969</v>
      </c>
      <c r="U62" t="s">
        <v>62</v>
      </c>
      <c r="V62">
        <v>9723715203</v>
      </c>
      <c r="W62" s="1">
        <v>204679</v>
      </c>
      <c r="X62">
        <v>11</v>
      </c>
      <c r="Y62">
        <v>11</v>
      </c>
      <c r="Z62">
        <v>2017</v>
      </c>
      <c r="AA62" t="s">
        <v>70</v>
      </c>
      <c r="AB62" t="s">
        <v>2896</v>
      </c>
      <c r="AC62" t="s">
        <v>669</v>
      </c>
      <c r="AD62" t="s">
        <v>99</v>
      </c>
      <c r="AE62">
        <v>1311</v>
      </c>
      <c r="AF62" t="s">
        <v>100</v>
      </c>
      <c r="AI62">
        <v>13110102</v>
      </c>
      <c r="AJ62" t="s">
        <v>599</v>
      </c>
      <c r="AM62">
        <v>211120</v>
      </c>
      <c r="AN62" t="s">
        <v>104</v>
      </c>
      <c r="AQ62" t="s">
        <v>168</v>
      </c>
      <c r="AR62" t="s">
        <v>2897</v>
      </c>
      <c r="AS62" t="s">
        <v>2898</v>
      </c>
      <c r="AT62" t="s">
        <v>76</v>
      </c>
      <c r="AU62" t="s">
        <v>80</v>
      </c>
      <c r="AV62" t="s">
        <v>62</v>
      </c>
      <c r="AW62" t="s">
        <v>2897</v>
      </c>
      <c r="AX62" t="s">
        <v>2898</v>
      </c>
      <c r="AY62" t="s">
        <v>80</v>
      </c>
      <c r="AZ62" t="s">
        <v>62</v>
      </c>
      <c r="BA62" t="s">
        <v>2897</v>
      </c>
      <c r="BC62" t="s">
        <v>2898</v>
      </c>
      <c r="BD62" t="s">
        <v>80</v>
      </c>
      <c r="BE62" t="s">
        <v>62</v>
      </c>
      <c r="BF62">
        <v>2</v>
      </c>
      <c r="BG62">
        <v>23</v>
      </c>
      <c r="BH62" s="4" t="s">
        <v>2897</v>
      </c>
      <c r="BI62" s="4" t="s">
        <v>2898</v>
      </c>
      <c r="BJ62" s="4" t="s">
        <v>4246</v>
      </c>
      <c r="BK62" s="4" t="s">
        <v>968</v>
      </c>
      <c r="BL62" s="4" t="s">
        <v>378</v>
      </c>
      <c r="BM62" s="4" t="s">
        <v>94</v>
      </c>
      <c r="BN62" s="4" t="s">
        <v>969</v>
      </c>
      <c r="BO62" s="4" t="s">
        <v>62</v>
      </c>
      <c r="BP62" s="4">
        <v>9723715200</v>
      </c>
      <c r="BQ62" s="5">
        <v>983670000</v>
      </c>
      <c r="BR62" s="4">
        <v>23</v>
      </c>
      <c r="BS62" s="4">
        <v>264</v>
      </c>
      <c r="BT62" s="4">
        <v>1983</v>
      </c>
      <c r="BU62" s="4" t="s">
        <v>163</v>
      </c>
      <c r="BV62" s="4" t="s">
        <v>4247</v>
      </c>
      <c r="BW62" s="4" t="s">
        <v>165</v>
      </c>
      <c r="BX62" s="4" t="s">
        <v>99</v>
      </c>
      <c r="BY62" s="4">
        <v>1311</v>
      </c>
      <c r="BZ62" s="4" t="s">
        <v>100</v>
      </c>
      <c r="CC62" s="4">
        <v>13110000</v>
      </c>
      <c r="CD62" s="4" t="s">
        <v>276</v>
      </c>
      <c r="CG62" s="4">
        <v>211120</v>
      </c>
      <c r="CH62" s="4" t="s">
        <v>104</v>
      </c>
      <c r="CK62" s="19">
        <f>IF(BQ62&gt;0,BQ62,W62)</f>
        <v>983670000</v>
      </c>
      <c r="CL62" s="20">
        <f>IF(BS62&gt;0,BS62,Y62)</f>
        <v>264</v>
      </c>
      <c r="CM62" s="34">
        <f>IF(CG62&gt;0,CG62,AM62)</f>
        <v>211120</v>
      </c>
      <c r="CN62" s="80">
        <f>IF($BH62="",1,COUNTIF($BH$3:$BH62,$BH62))</f>
        <v>1</v>
      </c>
      <c r="CP62" t="str">
        <f>IF($K62="Standard Match","Match",IF($K62="Name Only Match",IF($CO62="Yes","Match","Name Only Match"),"No Match"))</f>
        <v>Match</v>
      </c>
      <c r="CQ62" s="35" t="str">
        <f>IF(AND(CP62="Match",CK62&gt;0,CL62&gt;0),"Y","N")</f>
        <v>Y</v>
      </c>
      <c r="CS62" t="str">
        <f>IF($CQ62="Y",VLOOKUP($CM62,'SBA Size Standards'!$B$3:$G$57,MATCH('SBA Size Standards'!$G$3,'SBA Size Standards'!$B$3:$G$3,0),FALSE),"")</f>
        <v>Employment</v>
      </c>
      <c r="CT62" s="60" t="str">
        <f>IF(CQ62="Y",IF($CS62="Employment","N/A",VLOOKUP($CM62,'SBA Size Standards'!$B$3:$G$57,MATCH('SBA Size Standards'!$E$3,'SBA Size Standards'!$B$3:$G$3,0),FALSE)),"")</f>
        <v>N/A</v>
      </c>
      <c r="CU62" s="86">
        <f>IF($CQ62="Y",IF($CS62="Revenue","N/A",VLOOKUP($CM62,'SBA Size Standards'!$B$3:$G$57,MATCH('SBA Size Standards'!$F$3,'SBA Size Standards'!$B$3:$G$3,0),FALSE)),"")</f>
        <v>1250</v>
      </c>
      <c r="CV62" t="str">
        <f>IF($CQ62="Y",IF(OR(AND($CS62="Employment",$CL62&lt;$CU62),AND($CS62="Revenue",$CK62&lt;$CT62)),"YES","NO"),"")</f>
        <v>YES</v>
      </c>
      <c r="CW62" s="90" t="str">
        <f>IF($CQ62="Y",INDEX('SBA Size Standards'!$N$3:$N$12,MATCH($CK62,'SBA Size Standards'!$O$3:$O$12,1)),"")</f>
        <v>$100,000,001 - $1,000,000,000</v>
      </c>
      <c r="CX62" s="122" t="s">
        <v>4793</v>
      </c>
      <c r="CY62" s="122">
        <f>INDEX('NM O&amp;G Production'!$P$3:$P$537,MATCH(CX62,'NM O&amp;G Production'!$Q$3:$Q$537,0))</f>
        <v>421</v>
      </c>
      <c r="CZ62" s="122" t="str">
        <f>INDEX('NM O&amp;G Production'!$O$3:$O$537,MATCH(CY62,'NM O&amp;G Production'!$P$3:$P$537,0))</f>
        <v>No</v>
      </c>
      <c r="DA62" s="127">
        <f>INDEX('NM O&amp;G Production'!$K$3:$O$537,MATCH($CY62,'NM O&amp;G Production'!$P$3:$P$537,0),MATCH(DA$2,'NM O&amp;G Production'!$K$2:$O$2,0))</f>
        <v>0</v>
      </c>
      <c r="DB62" s="127">
        <f>INDEX('NM O&amp;G Production'!$K$3:$O$537,MATCH($CY62,'NM O&amp;G Production'!$P$3:$P$537,0),MATCH(DB$2,'NM O&amp;G Production'!$K$2:$O$2,0))</f>
        <v>0</v>
      </c>
      <c r="DC62" s="127"/>
      <c r="DD62" s="127">
        <f>INDEX('NM O&amp;G Production'!$K$3:$O$537,MATCH($CY62,'NM O&amp;G Production'!$P$3:$P$537,0),MATCH(DD$2,'NM O&amp;G Production'!$K$2:$O$2,0))</f>
        <v>0</v>
      </c>
      <c r="DE62" s="127">
        <f>INDEX('NM O&amp;G Production'!$K$3:$O$537,MATCH($CY62,'NM O&amp;G Production'!$P$3:$P$537,0),MATCH(DE$2,'NM O&amp;G Production'!$K$2:$O$2,0))</f>
        <v>0</v>
      </c>
      <c r="DF62" s="258" t="e">
        <f>CK62/(DB62+DA62)</f>
        <v>#DIV/0!</v>
      </c>
      <c r="DG62" s="57">
        <f>DD62*(12/18)*1.06*'Oil and Gas Prices'!$C$18</f>
        <v>0</v>
      </c>
      <c r="DH62" s="290">
        <f>DE62*(12/18)*'Oil and Gas Prices'!$C$4</f>
        <v>0</v>
      </c>
      <c r="DI62" s="284"/>
      <c r="DJ62" s="57" t="e">
        <f>(DG62+DH62)/(DA62+DB62)</f>
        <v>#DIV/0!</v>
      </c>
      <c r="DK62" s="18" t="e">
        <f>CK62/DI62</f>
        <v>#DIV/0!</v>
      </c>
    </row>
    <row r="63" spans="1:115" x14ac:dyDescent="0.25">
      <c r="A63" t="s">
        <v>194</v>
      </c>
      <c r="B63" t="s">
        <v>195</v>
      </c>
      <c r="D63" t="s">
        <v>112</v>
      </c>
      <c r="E63" t="s">
        <v>80</v>
      </c>
      <c r="F63">
        <v>77024</v>
      </c>
      <c r="G63" t="s">
        <v>62</v>
      </c>
      <c r="I63">
        <v>17</v>
      </c>
      <c r="J63" t="s">
        <v>63</v>
      </c>
      <c r="K63" t="s">
        <v>4133</v>
      </c>
      <c r="L63" t="s">
        <v>64</v>
      </c>
      <c r="M63">
        <v>10</v>
      </c>
      <c r="N63" t="s">
        <v>196</v>
      </c>
      <c r="O63" t="s">
        <v>197</v>
      </c>
      <c r="Q63" t="s">
        <v>198</v>
      </c>
      <c r="R63" t="s">
        <v>112</v>
      </c>
      <c r="S63" t="s">
        <v>94</v>
      </c>
      <c r="T63" t="s">
        <v>199</v>
      </c>
      <c r="U63" t="s">
        <v>62</v>
      </c>
      <c r="V63">
        <v>2818368000</v>
      </c>
      <c r="W63" s="1">
        <v>109218308</v>
      </c>
      <c r="X63">
        <v>3</v>
      </c>
      <c r="Y63">
        <v>100</v>
      </c>
      <c r="Z63">
        <v>2015</v>
      </c>
      <c r="AA63" t="s">
        <v>163</v>
      </c>
      <c r="AB63" t="s">
        <v>200</v>
      </c>
      <c r="AC63" t="s">
        <v>133</v>
      </c>
      <c r="AD63" t="s">
        <v>71</v>
      </c>
      <c r="AE63">
        <v>1389</v>
      </c>
      <c r="AF63" t="s">
        <v>72</v>
      </c>
      <c r="AI63">
        <v>13899904</v>
      </c>
      <c r="AJ63" t="s">
        <v>201</v>
      </c>
      <c r="AM63">
        <v>213112</v>
      </c>
      <c r="AN63" t="s">
        <v>74</v>
      </c>
      <c r="AQ63" t="s">
        <v>168</v>
      </c>
      <c r="AR63" t="s">
        <v>202</v>
      </c>
      <c r="AS63" t="s">
        <v>203</v>
      </c>
      <c r="AT63" t="s">
        <v>76</v>
      </c>
      <c r="AU63" t="s">
        <v>80</v>
      </c>
      <c r="AV63" t="s">
        <v>62</v>
      </c>
      <c r="AW63" t="s">
        <v>202</v>
      </c>
      <c r="AX63" t="s">
        <v>203</v>
      </c>
      <c r="AY63" t="s">
        <v>80</v>
      </c>
      <c r="AZ63" t="s">
        <v>62</v>
      </c>
      <c r="BA63" t="s">
        <v>202</v>
      </c>
      <c r="BC63" t="s">
        <v>203</v>
      </c>
      <c r="BD63" t="s">
        <v>80</v>
      </c>
      <c r="BE63" t="s">
        <v>62</v>
      </c>
      <c r="BF63">
        <v>2</v>
      </c>
      <c r="BG63">
        <v>82</v>
      </c>
      <c r="BH63" s="4" t="s">
        <v>202</v>
      </c>
      <c r="BI63" s="4" t="s">
        <v>203</v>
      </c>
      <c r="BJ63" s="4" t="s">
        <v>4142</v>
      </c>
      <c r="BK63" s="4" t="s">
        <v>198</v>
      </c>
      <c r="BL63" s="4" t="s">
        <v>112</v>
      </c>
      <c r="BM63" s="4" t="s">
        <v>94</v>
      </c>
      <c r="BN63" s="4" t="s">
        <v>199</v>
      </c>
      <c r="BO63" s="4" t="s">
        <v>62</v>
      </c>
      <c r="BP63" s="4">
        <v>2818368000</v>
      </c>
      <c r="BQ63" s="5">
        <v>874970000</v>
      </c>
      <c r="BR63" s="4">
        <v>200</v>
      </c>
      <c r="BS63" s="6">
        <v>1700</v>
      </c>
      <c r="BT63" s="4">
        <v>1990</v>
      </c>
      <c r="BU63" s="4" t="s">
        <v>163</v>
      </c>
      <c r="BV63" s="4" t="s">
        <v>1245</v>
      </c>
      <c r="BW63" s="4" t="s">
        <v>98</v>
      </c>
      <c r="BX63" s="4" t="s">
        <v>71</v>
      </c>
      <c r="BY63" s="4">
        <v>1389</v>
      </c>
      <c r="BZ63" s="4" t="s">
        <v>72</v>
      </c>
      <c r="CC63" s="4">
        <v>13899904</v>
      </c>
      <c r="CD63" s="4" t="s">
        <v>201</v>
      </c>
      <c r="CG63" s="4">
        <v>213112</v>
      </c>
      <c r="CH63" s="4" t="s">
        <v>74</v>
      </c>
      <c r="CK63" s="19">
        <f>IF(BQ63&gt;0,BQ63,W63)</f>
        <v>874970000</v>
      </c>
      <c r="CL63" s="20">
        <f>IF(BS63&gt;0,BS63,Y63)</f>
        <v>1700</v>
      </c>
      <c r="CM63" s="34">
        <f>IF(CG63&gt;0,CG63,AM63)</f>
        <v>213112</v>
      </c>
      <c r="CN63" s="80">
        <f>IF($BH63="",1,COUNTIF($BH$3:$BH63,$BH63))</f>
        <v>1</v>
      </c>
      <c r="CP63" t="str">
        <f>IF($K63="Standard Match","Match",IF($K63="Name Only Match",IF($CO63="Yes","Match","Name Only Match"),"No Match"))</f>
        <v>Match</v>
      </c>
      <c r="CQ63" s="35" t="str">
        <f>IF(AND(CP63="Match",CK63&gt;0,CL63&gt;0),"Y","N")</f>
        <v>Y</v>
      </c>
      <c r="CS63" t="str">
        <f>IF($CQ63="Y",VLOOKUP($CM63,'SBA Size Standards'!$B$3:$G$57,MATCH('SBA Size Standards'!$G$3,'SBA Size Standards'!$B$3:$G$3,0),FALSE),"")</f>
        <v>Revenue</v>
      </c>
      <c r="CT63" s="60">
        <f>IF(CQ63="Y",IF($CS63="Employment","N/A",VLOOKUP($CM63,'SBA Size Standards'!$B$3:$G$57,MATCH('SBA Size Standards'!$E$3,'SBA Size Standards'!$B$3:$G$3,0),FALSE)),"")</f>
        <v>41500000</v>
      </c>
      <c r="CU63" s="86" t="str">
        <f>IF($CQ63="Y",IF($CS63="Revenue","N/A",VLOOKUP($CM63,'SBA Size Standards'!$B$3:$G$57,MATCH('SBA Size Standards'!$F$3,'SBA Size Standards'!$B$3:$G$3,0),FALSE)),"")</f>
        <v>N/A</v>
      </c>
      <c r="CV63" t="str">
        <f>IF($CQ63="Y",IF(OR(AND($CS63="Employment",$CL63&lt;$CU63),AND($CS63="Revenue",$CK63&lt;$CT63)),"YES","NO"),"")</f>
        <v>NO</v>
      </c>
      <c r="CW63" s="90" t="str">
        <f>IF($CQ63="Y",INDEX('SBA Size Standards'!$N$3:$N$12,MATCH($CK63,'SBA Size Standards'!$O$3:$O$12,1)),"")</f>
        <v>$100,000,001 - $1,000,000,000</v>
      </c>
      <c r="CX63" s="122" t="s">
        <v>4540</v>
      </c>
      <c r="CY63" s="122">
        <f>INDEX('NM O&amp;G Production'!$P$3:$P$537,MATCH(CX63,'NM O&amp;G Production'!$Q$3:$Q$537,0))</f>
        <v>17</v>
      </c>
      <c r="CZ63" s="122" t="str">
        <f>INDEX('NM O&amp;G Production'!$K$3:$O$537,MATCH($CY63,'NM O&amp;G Production'!$P$3:$P$537,0),MATCH(CZ$2,'NM O&amp;G Production'!$K$2:$O$2,0))</f>
        <v>No</v>
      </c>
      <c r="DA63" s="127">
        <f>INDEX('NM O&amp;G Production'!$K$3:$O$537,MATCH($CY63,'NM O&amp;G Production'!$P$3:$P$537,0),MATCH(DA$2,'NM O&amp;G Production'!$K$2:$O$2,0))</f>
        <v>0</v>
      </c>
      <c r="DB63" s="127">
        <f>INDEX('NM O&amp;G Production'!$K$3:$O$537,MATCH($CY63,'NM O&amp;G Production'!$P$3:$P$537,0),MATCH(DB$2,'NM O&amp;G Production'!$K$2:$O$2,0))</f>
        <v>0</v>
      </c>
      <c r="DC63" s="127"/>
      <c r="DD63" s="127">
        <f>INDEX('NM O&amp;G Production'!$K$3:$O$537,MATCH($CY63,'NM O&amp;G Production'!$P$3:$P$537,0),MATCH(DD$2,'NM O&amp;G Production'!$K$2:$O$2,0))</f>
        <v>0</v>
      </c>
      <c r="DE63" s="127">
        <f>INDEX('NM O&amp;G Production'!$K$3:$O$537,MATCH($CY63,'NM O&amp;G Production'!$P$3:$P$537,0),MATCH(DE$2,'NM O&amp;G Production'!$K$2:$O$2,0))</f>
        <v>0</v>
      </c>
      <c r="DF63" s="258" t="e">
        <f>CK63/(DB63+DA63)</f>
        <v>#DIV/0!</v>
      </c>
      <c r="DG63" s="57">
        <f>DD63*(12/18)*1.06*'Oil and Gas Prices'!$C$18</f>
        <v>0</v>
      </c>
      <c r="DH63" s="284">
        <f>DE63*(12/18)*'Oil and Gas Prices'!$C$4</f>
        <v>0</v>
      </c>
      <c r="DI63" s="284"/>
      <c r="DJ63" s="57" t="e">
        <f>(DG63+DH63)/(DA63+DB63)</f>
        <v>#DIV/0!</v>
      </c>
      <c r="DK63" s="18" t="e">
        <f>CK63/DI63</f>
        <v>#DIV/0!</v>
      </c>
    </row>
    <row r="64" spans="1:115" x14ac:dyDescent="0.25">
      <c r="A64" t="s">
        <v>1239</v>
      </c>
      <c r="B64" t="s">
        <v>1240</v>
      </c>
      <c r="D64" t="s">
        <v>112</v>
      </c>
      <c r="E64" t="s">
        <v>80</v>
      </c>
      <c r="F64">
        <v>77060</v>
      </c>
      <c r="G64" t="s">
        <v>62</v>
      </c>
      <c r="I64">
        <v>162</v>
      </c>
      <c r="J64" t="s">
        <v>63</v>
      </c>
      <c r="K64" t="s">
        <v>4133</v>
      </c>
      <c r="L64" t="s">
        <v>113</v>
      </c>
      <c r="M64">
        <v>8</v>
      </c>
      <c r="N64" t="s">
        <v>1241</v>
      </c>
      <c r="O64" t="s">
        <v>1242</v>
      </c>
      <c r="Q64" t="s">
        <v>1243</v>
      </c>
      <c r="R64" t="s">
        <v>112</v>
      </c>
      <c r="S64" t="s">
        <v>94</v>
      </c>
      <c r="T64" t="s">
        <v>1244</v>
      </c>
      <c r="U64" t="s">
        <v>62</v>
      </c>
      <c r="V64">
        <v>2818367000</v>
      </c>
      <c r="W64" s="1">
        <v>236819811</v>
      </c>
      <c r="X64">
        <v>600</v>
      </c>
      <c r="Y64" s="2">
        <v>3095</v>
      </c>
      <c r="Z64">
        <v>1954</v>
      </c>
      <c r="AA64" t="s">
        <v>163</v>
      </c>
      <c r="AB64" t="s">
        <v>1245</v>
      </c>
      <c r="AC64" t="s">
        <v>133</v>
      </c>
      <c r="AD64" t="s">
        <v>1246</v>
      </c>
      <c r="AE64">
        <v>7353</v>
      </c>
      <c r="AF64" t="s">
        <v>1247</v>
      </c>
      <c r="AG64">
        <v>5084</v>
      </c>
      <c r="AH64" t="s">
        <v>1248</v>
      </c>
      <c r="AI64">
        <v>73530100</v>
      </c>
      <c r="AJ64" t="s">
        <v>1249</v>
      </c>
      <c r="AK64">
        <v>50840400</v>
      </c>
      <c r="AL64" t="s">
        <v>1250</v>
      </c>
      <c r="AM64">
        <v>532412</v>
      </c>
      <c r="AN64" t="s">
        <v>1251</v>
      </c>
      <c r="AO64">
        <v>423830</v>
      </c>
      <c r="AP64" t="s">
        <v>1252</v>
      </c>
      <c r="AQ64" t="s">
        <v>168</v>
      </c>
      <c r="AR64" t="s">
        <v>202</v>
      </c>
      <c r="AS64" t="s">
        <v>203</v>
      </c>
      <c r="AT64" t="s">
        <v>76</v>
      </c>
      <c r="AU64" t="s">
        <v>80</v>
      </c>
      <c r="AV64" t="s">
        <v>62</v>
      </c>
      <c r="AW64" t="s">
        <v>202</v>
      </c>
      <c r="AX64" t="s">
        <v>203</v>
      </c>
      <c r="AY64" t="s">
        <v>80</v>
      </c>
      <c r="AZ64" t="s">
        <v>62</v>
      </c>
      <c r="BA64" t="s">
        <v>202</v>
      </c>
      <c r="BC64" t="s">
        <v>203</v>
      </c>
      <c r="BD64" t="s">
        <v>80</v>
      </c>
      <c r="BE64" t="s">
        <v>62</v>
      </c>
      <c r="BF64">
        <v>2</v>
      </c>
      <c r="BG64">
        <v>82</v>
      </c>
      <c r="BH64" s="4" t="s">
        <v>202</v>
      </c>
      <c r="BI64" s="4" t="s">
        <v>203</v>
      </c>
      <c r="BJ64" s="4" t="s">
        <v>4142</v>
      </c>
      <c r="BK64" s="4" t="s">
        <v>198</v>
      </c>
      <c r="BL64" s="4" t="s">
        <v>112</v>
      </c>
      <c r="BM64" s="4" t="s">
        <v>94</v>
      </c>
      <c r="BN64" s="4" t="s">
        <v>199</v>
      </c>
      <c r="BO64" s="4" t="s">
        <v>62</v>
      </c>
      <c r="BP64" s="4">
        <v>2818368000</v>
      </c>
      <c r="BQ64" s="5">
        <v>874970000</v>
      </c>
      <c r="BR64" s="4">
        <v>200</v>
      </c>
      <c r="BS64" s="6">
        <v>1700</v>
      </c>
      <c r="BT64" s="4">
        <v>1990</v>
      </c>
      <c r="BU64" s="4" t="s">
        <v>163</v>
      </c>
      <c r="BV64" s="4" t="s">
        <v>1245</v>
      </c>
      <c r="BW64" s="4" t="s">
        <v>98</v>
      </c>
      <c r="BX64" s="4" t="s">
        <v>71</v>
      </c>
      <c r="BY64" s="4">
        <v>1389</v>
      </c>
      <c r="BZ64" s="4" t="s">
        <v>72</v>
      </c>
      <c r="CC64" s="4">
        <v>13899904</v>
      </c>
      <c r="CD64" s="4" t="s">
        <v>201</v>
      </c>
      <c r="CG64" s="4">
        <v>213112</v>
      </c>
      <c r="CH64" s="4" t="s">
        <v>74</v>
      </c>
      <c r="CK64" s="19">
        <f>IF(BQ64&gt;0,BQ64,W64)</f>
        <v>874970000</v>
      </c>
      <c r="CL64" s="20">
        <f>IF(BS64&gt;0,BS64,Y64)</f>
        <v>1700</v>
      </c>
      <c r="CM64" s="34">
        <f>IF(CG64&gt;0,CG64,AM64)</f>
        <v>213112</v>
      </c>
      <c r="CN64" s="80">
        <f>IF($BH64="",1,COUNTIF($BH$3:$BH64,$BH64))</f>
        <v>2</v>
      </c>
      <c r="CP64" t="str">
        <f>IF($K64="Standard Match","Match",IF($K64="Name Only Match",IF($CO64="Yes","Match","Name Only Match"),"No Match"))</f>
        <v>Match</v>
      </c>
      <c r="CQ64" s="35" t="str">
        <f>IF(AND(CP64="Match",CK64&gt;0,CL64&gt;0),"Y","N")</f>
        <v>Y</v>
      </c>
      <c r="CS64" t="str">
        <f>IF($CQ64="Y",VLOOKUP($CM64,'SBA Size Standards'!$B$3:$G$57,MATCH('SBA Size Standards'!$G$3,'SBA Size Standards'!$B$3:$G$3,0),FALSE),"")</f>
        <v>Revenue</v>
      </c>
      <c r="CT64" s="60">
        <f>IF(CQ64="Y",IF($CS64="Employment","N/A",VLOOKUP($CM64,'SBA Size Standards'!$B$3:$G$57,MATCH('SBA Size Standards'!$E$3,'SBA Size Standards'!$B$3:$G$3,0),FALSE)),"")</f>
        <v>41500000</v>
      </c>
      <c r="CU64" s="86" t="str">
        <f>IF($CQ64="Y",IF($CS64="Revenue","N/A",VLOOKUP($CM64,'SBA Size Standards'!$B$3:$G$57,MATCH('SBA Size Standards'!$F$3,'SBA Size Standards'!$B$3:$G$3,0),FALSE)),"")</f>
        <v>N/A</v>
      </c>
      <c r="CV64" t="str">
        <f>IF($CQ64="Y",IF(OR(AND($CS64="Employment",$CL64&lt;$CU64),AND($CS64="Revenue",$CK64&lt;$CT64)),"YES","NO"),"")</f>
        <v>NO</v>
      </c>
      <c r="CW64" s="90" t="str">
        <f>IF($CQ64="Y",INDEX('SBA Size Standards'!$N$3:$N$12,MATCH($CK64,'SBA Size Standards'!$O$3:$O$12,1)),"")</f>
        <v>$100,000,001 - $1,000,000,000</v>
      </c>
      <c r="CX64" s="122" t="s">
        <v>4842</v>
      </c>
      <c r="CY64" s="122">
        <f>INDEX('NM O&amp;G Production'!$P$3:$P$537,MATCH(CX64,'NM O&amp;G Production'!$Q$3:$Q$537,0))</f>
        <v>162</v>
      </c>
      <c r="CZ64" s="122" t="str">
        <f>INDEX('NM O&amp;G Production'!$O$3:$O$537,MATCH(CY64,'NM O&amp;G Production'!$P$3:$P$537,0))</f>
        <v>No</v>
      </c>
      <c r="DA64" s="127">
        <f>INDEX('NM O&amp;G Production'!$K$3:$O$537,MATCH($CY64,'NM O&amp;G Production'!$P$3:$P$537,0),MATCH(DA$2,'NM O&amp;G Production'!$K$2:$O$2,0))</f>
        <v>0</v>
      </c>
      <c r="DB64" s="127">
        <f>INDEX('NM O&amp;G Production'!$K$3:$O$537,MATCH($CY64,'NM O&amp;G Production'!$P$3:$P$537,0),MATCH(DB$2,'NM O&amp;G Production'!$K$2:$O$2,0))</f>
        <v>0</v>
      </c>
      <c r="DC64" s="127"/>
      <c r="DD64" s="127">
        <f>INDEX('NM O&amp;G Production'!$K$3:$O$537,MATCH($CY64,'NM O&amp;G Production'!$P$3:$P$537,0),MATCH(DD$2,'NM O&amp;G Production'!$K$2:$O$2,0))</f>
        <v>0</v>
      </c>
      <c r="DE64" s="127">
        <f>INDEX('NM O&amp;G Production'!$K$3:$O$537,MATCH($CY64,'NM O&amp;G Production'!$P$3:$P$537,0),MATCH(DE$2,'NM O&amp;G Production'!$K$2:$O$2,0))</f>
        <v>0</v>
      </c>
      <c r="DF64" s="258" t="e">
        <f>CK64/(DB64+DA64)</f>
        <v>#DIV/0!</v>
      </c>
      <c r="DG64" s="57">
        <f>DD64*(12/18)*1.06*'Oil and Gas Prices'!$C$18</f>
        <v>0</v>
      </c>
      <c r="DH64" s="284">
        <f>DE64*(12/18)*'Oil and Gas Prices'!$C$4</f>
        <v>0</v>
      </c>
      <c r="DI64" s="284"/>
      <c r="DJ64" s="57" t="e">
        <f>(DG64+DH64)/(DA64+DB64)</f>
        <v>#DIV/0!</v>
      </c>
      <c r="DK64" s="18" t="e">
        <f>CK64/DI64</f>
        <v>#DIV/0!</v>
      </c>
    </row>
    <row r="65" spans="1:115" x14ac:dyDescent="0.25">
      <c r="A65" t="s">
        <v>2971</v>
      </c>
      <c r="B65" t="s">
        <v>2972</v>
      </c>
      <c r="D65" t="s">
        <v>112</v>
      </c>
      <c r="E65" t="s">
        <v>80</v>
      </c>
      <c r="F65">
        <v>77046</v>
      </c>
      <c r="G65" t="s">
        <v>62</v>
      </c>
      <c r="I65">
        <v>433</v>
      </c>
      <c r="J65" t="s">
        <v>63</v>
      </c>
      <c r="K65" t="s">
        <v>4133</v>
      </c>
      <c r="L65" t="s">
        <v>64</v>
      </c>
      <c r="M65">
        <v>10</v>
      </c>
      <c r="N65" t="s">
        <v>2973</v>
      </c>
      <c r="O65" t="s">
        <v>2974</v>
      </c>
      <c r="Q65" t="s">
        <v>2975</v>
      </c>
      <c r="R65" t="s">
        <v>112</v>
      </c>
      <c r="S65" t="s">
        <v>94</v>
      </c>
      <c r="T65" t="s">
        <v>2976</v>
      </c>
      <c r="U65" t="s">
        <v>62</v>
      </c>
      <c r="V65">
        <v>7135481000</v>
      </c>
      <c r="W65" s="1">
        <v>830000000</v>
      </c>
      <c r="X65">
        <v>130</v>
      </c>
      <c r="Y65">
        <v>460</v>
      </c>
      <c r="Z65">
        <v>2006</v>
      </c>
      <c r="AA65" t="s">
        <v>163</v>
      </c>
      <c r="AB65" t="s">
        <v>2977</v>
      </c>
      <c r="AC65" t="s">
        <v>145</v>
      </c>
      <c r="AD65" t="s">
        <v>119</v>
      </c>
      <c r="AE65">
        <v>1382</v>
      </c>
      <c r="AF65" t="s">
        <v>120</v>
      </c>
      <c r="AI65">
        <v>13820000</v>
      </c>
      <c r="AJ65" t="s">
        <v>119</v>
      </c>
      <c r="AM65">
        <v>213112</v>
      </c>
      <c r="AN65" t="s">
        <v>74</v>
      </c>
      <c r="AQ65" t="s">
        <v>75</v>
      </c>
      <c r="AR65" t="s">
        <v>2973</v>
      </c>
      <c r="AS65" t="s">
        <v>2974</v>
      </c>
      <c r="AT65" t="s">
        <v>427</v>
      </c>
      <c r="AU65" t="s">
        <v>80</v>
      </c>
      <c r="AV65" t="s">
        <v>62</v>
      </c>
      <c r="AW65" t="s">
        <v>2973</v>
      </c>
      <c r="AX65" t="s">
        <v>2974</v>
      </c>
      <c r="AY65" t="s">
        <v>80</v>
      </c>
      <c r="AZ65" t="s">
        <v>62</v>
      </c>
      <c r="BE65" t="s">
        <v>62</v>
      </c>
      <c r="BF65">
        <v>1</v>
      </c>
      <c r="BG65">
        <v>7</v>
      </c>
      <c r="BH65" s="4" t="s">
        <v>2973</v>
      </c>
      <c r="BI65" s="4" t="s">
        <v>2974</v>
      </c>
      <c r="BK65" s="4" t="s">
        <v>2975</v>
      </c>
      <c r="BL65" s="4" t="s">
        <v>112</v>
      </c>
      <c r="BM65" s="4" t="s">
        <v>94</v>
      </c>
      <c r="BN65" s="4" t="s">
        <v>2976</v>
      </c>
      <c r="BO65" s="4" t="s">
        <v>62</v>
      </c>
      <c r="BP65" s="4">
        <v>7135481000</v>
      </c>
      <c r="BQ65" s="5">
        <v>830000000</v>
      </c>
      <c r="BR65" s="4">
        <v>130</v>
      </c>
      <c r="BS65" s="4">
        <v>460</v>
      </c>
      <c r="BT65" s="4">
        <v>2006</v>
      </c>
      <c r="BU65" s="4" t="s">
        <v>163</v>
      </c>
      <c r="BV65" s="4" t="s">
        <v>2977</v>
      </c>
      <c r="BW65" s="4" t="s">
        <v>145</v>
      </c>
      <c r="BX65" s="4" t="s">
        <v>119</v>
      </c>
      <c r="BY65" s="4">
        <v>1382</v>
      </c>
      <c r="BZ65" s="4" t="s">
        <v>120</v>
      </c>
      <c r="CC65" s="4">
        <v>13820000</v>
      </c>
      <c r="CD65" s="4" t="s">
        <v>119</v>
      </c>
      <c r="CG65" s="4">
        <v>213112</v>
      </c>
      <c r="CH65" s="4" t="s">
        <v>74</v>
      </c>
      <c r="CK65" s="19">
        <f>IF(BQ65&gt;0,BQ65,W65)</f>
        <v>830000000</v>
      </c>
      <c r="CL65" s="20">
        <f>IF(BS65&gt;0,BS65,Y65)</f>
        <v>460</v>
      </c>
      <c r="CM65" s="34">
        <f>IF(CG65&gt;0,CG65,AM65)</f>
        <v>213112</v>
      </c>
      <c r="CN65" s="80">
        <f>IF($BH65="",1,COUNTIF($BH$3:$BH65,$BH65))</f>
        <v>1</v>
      </c>
      <c r="CP65" t="str">
        <f>IF($K65="Standard Match","Match",IF($K65="Name Only Match",IF($CO65="Yes","Match","Name Only Match"),"No Match"))</f>
        <v>Match</v>
      </c>
      <c r="CQ65" s="35" t="str">
        <f>IF(AND(CP65="Match",CK65&gt;0,CL65&gt;0),"Y","N")</f>
        <v>Y</v>
      </c>
      <c r="CS65" t="str">
        <f>IF($CQ65="Y",VLOOKUP($CM65,'SBA Size Standards'!$B$3:$G$57,MATCH('SBA Size Standards'!$G$3,'SBA Size Standards'!$B$3:$G$3,0),FALSE),"")</f>
        <v>Revenue</v>
      </c>
      <c r="CT65" s="60">
        <f>IF(CQ65="Y",IF($CS65="Employment","N/A",VLOOKUP($CM65,'SBA Size Standards'!$B$3:$G$57,MATCH('SBA Size Standards'!$E$3,'SBA Size Standards'!$B$3:$G$3,0),FALSE)),"")</f>
        <v>41500000</v>
      </c>
      <c r="CU65" s="86" t="str">
        <f>IF($CQ65="Y",IF($CS65="Revenue","N/A",VLOOKUP($CM65,'SBA Size Standards'!$B$3:$G$57,MATCH('SBA Size Standards'!$F$3,'SBA Size Standards'!$B$3:$G$3,0),FALSE)),"")</f>
        <v>N/A</v>
      </c>
      <c r="CV65" t="str">
        <f>IF($CQ65="Y",IF(OR(AND($CS65="Employment",$CL65&lt;$CU65),AND($CS65="Revenue",$CK65&lt;$CT65)),"YES","NO"),"")</f>
        <v>NO</v>
      </c>
      <c r="CW65" s="90" t="str">
        <f>IF($CQ65="Y",INDEX('SBA Size Standards'!$N$3:$N$12,MATCH($CK65,'SBA Size Standards'!$O$3:$O$12,1)),"")</f>
        <v>$100,000,001 - $1,000,000,000</v>
      </c>
      <c r="CX65" s="122" t="s">
        <v>4741</v>
      </c>
      <c r="CY65" s="122">
        <f>INDEX('NM O&amp;G Production'!$P$3:$P$537,MATCH(CX65,'NM O&amp;G Production'!$Q$3:$Q$537,0))</f>
        <v>433</v>
      </c>
      <c r="CZ65" s="122" t="str">
        <f>INDEX('NM O&amp;G Production'!$O$3:$O$537,MATCH(CY65,'NM O&amp;G Production'!$P$3:$P$537,0))</f>
        <v>No</v>
      </c>
      <c r="DA65" s="127">
        <f>INDEX('NM O&amp;G Production'!$K$3:$O$537,MATCH($CY65,'NM O&amp;G Production'!$P$3:$P$537,0),MATCH(DA$2,'NM O&amp;G Production'!$K$2:$O$2,0))</f>
        <v>0</v>
      </c>
      <c r="DB65" s="127">
        <f>INDEX('NM O&amp;G Production'!$K$3:$O$537,MATCH($CY65,'NM O&amp;G Production'!$P$3:$P$537,0),MATCH(DB$2,'NM O&amp;G Production'!$K$2:$O$2,0))</f>
        <v>0</v>
      </c>
      <c r="DC65" s="127"/>
      <c r="DD65" s="127">
        <f>INDEX('NM O&amp;G Production'!$K$3:$O$537,MATCH($CY65,'NM O&amp;G Production'!$P$3:$P$537,0),MATCH(DD$2,'NM O&amp;G Production'!$K$2:$O$2,0))</f>
        <v>0</v>
      </c>
      <c r="DE65" s="127">
        <f>INDEX('NM O&amp;G Production'!$K$3:$O$537,MATCH($CY65,'NM O&amp;G Production'!$P$3:$P$537,0),MATCH(DE$2,'NM O&amp;G Production'!$K$2:$O$2,0))</f>
        <v>0</v>
      </c>
      <c r="DF65" s="258" t="e">
        <f>CK65/(DB65+DA65)</f>
        <v>#DIV/0!</v>
      </c>
      <c r="DG65" s="57">
        <f>DD65*(12/18)*1.06*'Oil and Gas Prices'!$C$18</f>
        <v>0</v>
      </c>
      <c r="DH65" s="284">
        <f>DE65*(12/18)*'Oil and Gas Prices'!$C$4</f>
        <v>0</v>
      </c>
      <c r="DI65" s="284"/>
      <c r="DJ65" s="57" t="e">
        <f>(DG65+DH65)/(DA65+DB65)</f>
        <v>#DIV/0!</v>
      </c>
      <c r="DK65" s="18" t="e">
        <f>CK65/DI65</f>
        <v>#DIV/0!</v>
      </c>
    </row>
    <row r="66" spans="1:115" x14ac:dyDescent="0.25">
      <c r="A66" t="s">
        <v>1720</v>
      </c>
      <c r="B66" t="s">
        <v>1721</v>
      </c>
      <c r="D66" t="s">
        <v>1336</v>
      </c>
      <c r="E66" t="s">
        <v>80</v>
      </c>
      <c r="F66">
        <v>75001</v>
      </c>
      <c r="G66" t="s">
        <v>62</v>
      </c>
      <c r="I66">
        <v>237</v>
      </c>
      <c r="J66" t="s">
        <v>63</v>
      </c>
      <c r="K66" t="s">
        <v>4133</v>
      </c>
      <c r="L66" t="s">
        <v>64</v>
      </c>
      <c r="M66">
        <v>10</v>
      </c>
      <c r="N66" t="s">
        <v>1722</v>
      </c>
      <c r="O66" t="s">
        <v>1720</v>
      </c>
      <c r="P66" t="s">
        <v>1723</v>
      </c>
      <c r="Q66" t="s">
        <v>1724</v>
      </c>
      <c r="R66" t="s">
        <v>1336</v>
      </c>
      <c r="S66" t="s">
        <v>94</v>
      </c>
      <c r="T66" t="s">
        <v>1725</v>
      </c>
      <c r="U66" t="s">
        <v>62</v>
      </c>
      <c r="V66">
        <v>9722338191</v>
      </c>
      <c r="W66" s="1">
        <v>718219561</v>
      </c>
      <c r="X66">
        <v>70</v>
      </c>
      <c r="Y66">
        <v>700</v>
      </c>
      <c r="Z66">
        <v>1960</v>
      </c>
      <c r="AA66" t="s">
        <v>163</v>
      </c>
      <c r="AB66" t="s">
        <v>1726</v>
      </c>
      <c r="AC66" t="s">
        <v>133</v>
      </c>
      <c r="AD66" t="s">
        <v>99</v>
      </c>
      <c r="AE66">
        <v>1311</v>
      </c>
      <c r="AF66" t="s">
        <v>100</v>
      </c>
      <c r="AI66">
        <v>13110101</v>
      </c>
      <c r="AJ66" t="s">
        <v>102</v>
      </c>
      <c r="AM66">
        <v>211120</v>
      </c>
      <c r="AN66" t="s">
        <v>104</v>
      </c>
      <c r="AQ66" t="s">
        <v>168</v>
      </c>
      <c r="AR66" t="s">
        <v>1727</v>
      </c>
      <c r="AS66" t="s">
        <v>1728</v>
      </c>
      <c r="AT66" t="s">
        <v>76</v>
      </c>
      <c r="AU66" t="s">
        <v>80</v>
      </c>
      <c r="AV66" t="s">
        <v>62</v>
      </c>
      <c r="AW66" t="s">
        <v>1727</v>
      </c>
      <c r="AX66" t="s">
        <v>1728</v>
      </c>
      <c r="AY66" t="s">
        <v>80</v>
      </c>
      <c r="AZ66" t="s">
        <v>62</v>
      </c>
      <c r="BA66" t="s">
        <v>1727</v>
      </c>
      <c r="BC66" t="s">
        <v>1728</v>
      </c>
      <c r="BD66" t="s">
        <v>80</v>
      </c>
      <c r="BE66" t="s">
        <v>62</v>
      </c>
      <c r="BF66">
        <v>2</v>
      </c>
      <c r="BG66">
        <v>67</v>
      </c>
      <c r="BH66" s="4" t="s">
        <v>1727</v>
      </c>
      <c r="BI66" s="4" t="s">
        <v>1728</v>
      </c>
      <c r="BK66" s="4" t="s">
        <v>4175</v>
      </c>
      <c r="BL66" s="4" t="s">
        <v>1336</v>
      </c>
      <c r="BM66" s="4" t="s">
        <v>94</v>
      </c>
      <c r="BN66" s="4" t="s">
        <v>4176</v>
      </c>
      <c r="BO66" s="4" t="s">
        <v>62</v>
      </c>
      <c r="BP66" s="4">
        <v>9722338191</v>
      </c>
      <c r="BQ66" s="5">
        <v>772139263</v>
      </c>
      <c r="BR66" s="4">
        <v>70</v>
      </c>
      <c r="BS66" s="4">
        <v>700</v>
      </c>
      <c r="BT66" s="4">
        <v>2006</v>
      </c>
      <c r="BU66" s="4" t="s">
        <v>163</v>
      </c>
      <c r="BV66" s="4" t="s">
        <v>1726</v>
      </c>
      <c r="BW66" s="4" t="s">
        <v>133</v>
      </c>
      <c r="BX66" s="4" t="s">
        <v>99</v>
      </c>
      <c r="BY66" s="4">
        <v>1311</v>
      </c>
      <c r="BZ66" s="4" t="s">
        <v>100</v>
      </c>
      <c r="CA66" s="4">
        <v>7353</v>
      </c>
      <c r="CB66" s="4" t="s">
        <v>1247</v>
      </c>
      <c r="CC66" s="4">
        <v>13110101</v>
      </c>
      <c r="CD66" s="4" t="s">
        <v>102</v>
      </c>
      <c r="CE66" s="4">
        <v>73530101</v>
      </c>
      <c r="CF66" s="4" t="s">
        <v>1503</v>
      </c>
      <c r="CG66" s="4">
        <v>211120</v>
      </c>
      <c r="CH66" s="4" t="s">
        <v>104</v>
      </c>
      <c r="CI66" s="4">
        <v>532412</v>
      </c>
      <c r="CJ66" s="4" t="s">
        <v>1251</v>
      </c>
      <c r="CK66" s="19">
        <f>IF(BQ66&gt;0,BQ66,W66)</f>
        <v>772139263</v>
      </c>
      <c r="CL66" s="20">
        <f>IF(BS66&gt;0,BS66,Y66)</f>
        <v>700</v>
      </c>
      <c r="CM66" s="34">
        <f>IF(CG66&gt;0,CG66,AM66)</f>
        <v>211120</v>
      </c>
      <c r="CN66" s="80">
        <f>IF($BH66="",1,COUNTIF($BH$3:$BH66,$BH66))</f>
        <v>1</v>
      </c>
      <c r="CP66" t="str">
        <f>IF($K66="Standard Match","Match",IF($K66="Name Only Match",IF($CO66="Yes","Match","Name Only Match"),"No Match"))</f>
        <v>Match</v>
      </c>
      <c r="CQ66" s="35" t="str">
        <f>IF(AND(CP66="Match",CK66&gt;0,CL66&gt;0),"Y","N")</f>
        <v>Y</v>
      </c>
      <c r="CS66" t="str">
        <f>IF($CQ66="Y",VLOOKUP($CM66,'SBA Size Standards'!$B$3:$G$57,MATCH('SBA Size Standards'!$G$3,'SBA Size Standards'!$B$3:$G$3,0),FALSE),"")</f>
        <v>Employment</v>
      </c>
      <c r="CT66" s="60" t="str">
        <f>IF(CQ66="Y",IF($CS66="Employment","N/A",VLOOKUP($CM66,'SBA Size Standards'!$B$3:$G$57,MATCH('SBA Size Standards'!$E$3,'SBA Size Standards'!$B$3:$G$3,0),FALSE)),"")</f>
        <v>N/A</v>
      </c>
      <c r="CU66" s="86">
        <f>IF($CQ66="Y",IF($CS66="Revenue","N/A",VLOOKUP($CM66,'SBA Size Standards'!$B$3:$G$57,MATCH('SBA Size Standards'!$F$3,'SBA Size Standards'!$B$3:$G$3,0),FALSE)),"")</f>
        <v>1250</v>
      </c>
      <c r="CV66" t="str">
        <f>IF($CQ66="Y",IF(OR(AND($CS66="Employment",$CL66&lt;$CU66),AND($CS66="Revenue",$CK66&lt;$CT66)),"YES","NO"),"")</f>
        <v>YES</v>
      </c>
      <c r="CW66" s="90" t="str">
        <f>IF($CQ66="Y",INDEX('SBA Size Standards'!$N$3:$N$12,MATCH($CK66,'SBA Size Standards'!$O$3:$O$12,1)),"")</f>
        <v>$100,000,001 - $1,000,000,000</v>
      </c>
      <c r="CX66" s="122" t="s">
        <v>4649</v>
      </c>
      <c r="CY66" s="122">
        <f>INDEX('NM O&amp;G Production'!$P$3:$P$537,MATCH(CX66,'NM O&amp;G Production'!$Q$3:$Q$537,0))</f>
        <v>237</v>
      </c>
      <c r="CZ66" s="122" t="str">
        <f>INDEX('NM O&amp;G Production'!$O$3:$O$537,MATCH(CY66,'NM O&amp;G Production'!$P$3:$P$537,0))</f>
        <v>No</v>
      </c>
      <c r="DA66" s="127">
        <f>INDEX('NM O&amp;G Production'!$K$3:$O$537,MATCH($CY66,'NM O&amp;G Production'!$P$3:$P$537,0),MATCH(DA$2,'NM O&amp;G Production'!$K$2:$O$2,0))</f>
        <v>0</v>
      </c>
      <c r="DB66" s="127">
        <f>INDEX('NM O&amp;G Production'!$K$3:$O$537,MATCH($CY66,'NM O&amp;G Production'!$P$3:$P$537,0),MATCH(DB$2,'NM O&amp;G Production'!$K$2:$O$2,0))</f>
        <v>0</v>
      </c>
      <c r="DC66" s="127"/>
      <c r="DD66" s="127">
        <f>INDEX('NM O&amp;G Production'!$K$3:$O$537,MATCH($CY66,'NM O&amp;G Production'!$P$3:$P$537,0),MATCH(DD$2,'NM O&amp;G Production'!$K$2:$O$2,0))</f>
        <v>0</v>
      </c>
      <c r="DE66" s="127">
        <f>INDEX('NM O&amp;G Production'!$K$3:$O$537,MATCH($CY66,'NM O&amp;G Production'!$P$3:$P$537,0),MATCH(DE$2,'NM O&amp;G Production'!$K$2:$O$2,0))</f>
        <v>0</v>
      </c>
      <c r="DF66" s="258" t="e">
        <f>CK66/(DB66+DA66)</f>
        <v>#DIV/0!</v>
      </c>
      <c r="DG66" s="57">
        <f>DD66*(12/18)*1.06*'Oil and Gas Prices'!$C$18</f>
        <v>0</v>
      </c>
      <c r="DH66" s="284">
        <f>DE66*(12/18)*'Oil and Gas Prices'!$C$4</f>
        <v>0</v>
      </c>
      <c r="DI66" s="284"/>
      <c r="DJ66" s="57" t="e">
        <f>(DG66+DH66)/(DA66+DB66)</f>
        <v>#DIV/0!</v>
      </c>
      <c r="DK66" s="18" t="e">
        <f>CK66/DI66</f>
        <v>#DIV/0!</v>
      </c>
    </row>
    <row r="67" spans="1:115" x14ac:dyDescent="0.25">
      <c r="A67" t="s">
        <v>1739</v>
      </c>
      <c r="B67" t="s">
        <v>1740</v>
      </c>
      <c r="D67" t="s">
        <v>183</v>
      </c>
      <c r="E67" t="s">
        <v>184</v>
      </c>
      <c r="F67">
        <v>74121</v>
      </c>
      <c r="G67" t="s">
        <v>62</v>
      </c>
      <c r="I67">
        <v>239</v>
      </c>
      <c r="J67" t="s">
        <v>63</v>
      </c>
      <c r="K67" t="s">
        <v>4133</v>
      </c>
      <c r="L67" t="s">
        <v>149</v>
      </c>
      <c r="M67">
        <v>10</v>
      </c>
      <c r="N67" t="s">
        <v>1741</v>
      </c>
      <c r="O67" t="s">
        <v>1742</v>
      </c>
      <c r="P67" t="s">
        <v>1743</v>
      </c>
      <c r="Q67" t="s">
        <v>1744</v>
      </c>
      <c r="R67" t="s">
        <v>183</v>
      </c>
      <c r="S67" t="s">
        <v>188</v>
      </c>
      <c r="T67" t="s">
        <v>1745</v>
      </c>
      <c r="U67" t="s">
        <v>62</v>
      </c>
      <c r="V67">
        <v>9184940000</v>
      </c>
      <c r="W67" s="1">
        <v>8149398</v>
      </c>
      <c r="X67">
        <v>180</v>
      </c>
      <c r="Y67" s="2">
        <v>2067</v>
      </c>
      <c r="Z67">
        <v>1976</v>
      </c>
      <c r="AA67" t="s">
        <v>163</v>
      </c>
      <c r="AB67" t="s">
        <v>1746</v>
      </c>
      <c r="AC67" t="s">
        <v>98</v>
      </c>
      <c r="AD67" t="s">
        <v>119</v>
      </c>
      <c r="AE67">
        <v>1382</v>
      </c>
      <c r="AF67" t="s">
        <v>120</v>
      </c>
      <c r="AG67">
        <v>1311</v>
      </c>
      <c r="AH67" t="s">
        <v>100</v>
      </c>
      <c r="AI67">
        <v>13820000</v>
      </c>
      <c r="AJ67" t="s">
        <v>119</v>
      </c>
      <c r="AK67">
        <v>13110000</v>
      </c>
      <c r="AL67" t="s">
        <v>276</v>
      </c>
      <c r="AM67">
        <v>213112</v>
      </c>
      <c r="AN67" t="s">
        <v>74</v>
      </c>
      <c r="AO67">
        <v>211120</v>
      </c>
      <c r="AP67" t="s">
        <v>104</v>
      </c>
      <c r="AQ67" t="s">
        <v>168</v>
      </c>
      <c r="AR67" t="s">
        <v>1747</v>
      </c>
      <c r="AS67" t="s">
        <v>1748</v>
      </c>
      <c r="AT67" t="s">
        <v>76</v>
      </c>
      <c r="AU67" t="s">
        <v>184</v>
      </c>
      <c r="AV67" t="s">
        <v>62</v>
      </c>
      <c r="AW67" t="s">
        <v>1747</v>
      </c>
      <c r="AX67" t="s">
        <v>1748</v>
      </c>
      <c r="AY67" t="s">
        <v>184</v>
      </c>
      <c r="AZ67" t="s">
        <v>62</v>
      </c>
      <c r="BA67" t="s">
        <v>1747</v>
      </c>
      <c r="BC67" t="s">
        <v>1748</v>
      </c>
      <c r="BD67" t="s">
        <v>184</v>
      </c>
      <c r="BE67" t="s">
        <v>62</v>
      </c>
      <c r="BF67">
        <v>2</v>
      </c>
      <c r="BG67">
        <v>20</v>
      </c>
      <c r="BH67" s="4" t="s">
        <v>1747</v>
      </c>
      <c r="BI67" s="4" t="s">
        <v>1748</v>
      </c>
      <c r="BJ67" s="4" t="s">
        <v>1742</v>
      </c>
      <c r="BK67" s="4" t="s">
        <v>1744</v>
      </c>
      <c r="BL67" s="4" t="s">
        <v>183</v>
      </c>
      <c r="BM67" s="4" t="s">
        <v>188</v>
      </c>
      <c r="BN67" s="4" t="s">
        <v>4177</v>
      </c>
      <c r="BO67" s="4" t="s">
        <v>62</v>
      </c>
      <c r="BP67" s="4">
        <v>9184940000</v>
      </c>
      <c r="BQ67" s="5">
        <v>678508168</v>
      </c>
      <c r="BR67" s="4">
        <v>12</v>
      </c>
      <c r="BS67" s="6">
        <v>2067</v>
      </c>
      <c r="BT67" s="4">
        <v>1976</v>
      </c>
      <c r="BU67" s="4" t="s">
        <v>163</v>
      </c>
      <c r="BV67" s="4" t="s">
        <v>1746</v>
      </c>
      <c r="BW67" s="4" t="s">
        <v>98</v>
      </c>
      <c r="BX67" s="4" t="s">
        <v>99</v>
      </c>
      <c r="BY67" s="4">
        <v>1311</v>
      </c>
      <c r="BZ67" s="4" t="s">
        <v>100</v>
      </c>
      <c r="CC67" s="4">
        <v>13110101</v>
      </c>
      <c r="CD67" s="4" t="s">
        <v>102</v>
      </c>
      <c r="CG67" s="4">
        <v>211120</v>
      </c>
      <c r="CH67" s="4" t="s">
        <v>104</v>
      </c>
      <c r="CK67" s="19">
        <f>IF(BQ67&gt;0,BQ67,W67)</f>
        <v>678508168</v>
      </c>
      <c r="CL67" s="20">
        <f>IF(BS67&gt;0,BS67,Y67)</f>
        <v>2067</v>
      </c>
      <c r="CM67" s="34">
        <f>IF(CG67&gt;0,CG67,AM67)</f>
        <v>211120</v>
      </c>
      <c r="CN67" s="80">
        <f>IF($BH67="",1,COUNTIF($BH$3:$BH67,$BH67))</f>
        <v>1</v>
      </c>
      <c r="CP67" t="str">
        <f>IF($K67="Standard Match","Match",IF($K67="Name Only Match",IF($CO67="Yes","Match","Name Only Match"),"No Match"))</f>
        <v>Match</v>
      </c>
      <c r="CQ67" s="35" t="str">
        <f>IF(AND(CP67="Match",CK67&gt;0,CL67&gt;0),"Y","N")</f>
        <v>Y</v>
      </c>
      <c r="CS67" t="str">
        <f>IF($CQ67="Y",VLOOKUP($CM67,'SBA Size Standards'!$B$3:$G$57,MATCH('SBA Size Standards'!$G$3,'SBA Size Standards'!$B$3:$G$3,0),FALSE),"")</f>
        <v>Employment</v>
      </c>
      <c r="CT67" s="60" t="str">
        <f>IF(CQ67="Y",IF($CS67="Employment","N/A",VLOOKUP($CM67,'SBA Size Standards'!$B$3:$G$57,MATCH('SBA Size Standards'!$E$3,'SBA Size Standards'!$B$3:$G$3,0),FALSE)),"")</f>
        <v>N/A</v>
      </c>
      <c r="CU67" s="86">
        <f>IF($CQ67="Y",IF($CS67="Revenue","N/A",VLOOKUP($CM67,'SBA Size Standards'!$B$3:$G$57,MATCH('SBA Size Standards'!$F$3,'SBA Size Standards'!$B$3:$G$3,0),FALSE)),"")</f>
        <v>1250</v>
      </c>
      <c r="CV67" t="str">
        <f>IF($CQ67="Y",IF(OR(AND($CS67="Employment",$CL67&lt;$CU67),AND($CS67="Revenue",$CK67&lt;$CT67)),"YES","NO"),"")</f>
        <v>NO</v>
      </c>
      <c r="CW67" s="90" t="str">
        <f>IF($CQ67="Y",INDEX('SBA Size Standards'!$N$3:$N$12,MATCH($CK67,'SBA Size Standards'!$O$3:$O$12,1)),"")</f>
        <v>$100,000,001 - $1,000,000,000</v>
      </c>
      <c r="CX67" s="122" t="s">
        <v>4651</v>
      </c>
      <c r="CY67" s="122">
        <f>INDEX('NM O&amp;G Production'!$P$3:$P$537,MATCH(CX67,'NM O&amp;G Production'!$Q$3:$Q$537,0))</f>
        <v>239</v>
      </c>
      <c r="CZ67" s="122" t="str">
        <f>INDEX('NM O&amp;G Production'!$O$3:$O$537,MATCH(CY67,'NM O&amp;G Production'!$P$3:$P$537,0))</f>
        <v>Yes</v>
      </c>
      <c r="DA67" s="127">
        <f>INDEX('NM O&amp;G Production'!$K$3:$O$537,MATCH($CY67,'NM O&amp;G Production'!$P$3:$P$537,0),MATCH(DA$2,'NM O&amp;G Production'!$K$2:$O$2,0))</f>
        <v>25</v>
      </c>
      <c r="DB67" s="127">
        <f>INDEX('NM O&amp;G Production'!$K$3:$O$537,MATCH($CY67,'NM O&amp;G Production'!$P$3:$P$537,0),MATCH(DB$2,'NM O&amp;G Production'!$K$2:$O$2,0))</f>
        <v>27</v>
      </c>
      <c r="DC67" s="127">
        <f>DA67+DB67</f>
        <v>52</v>
      </c>
      <c r="DD67" s="127">
        <f>INDEX('NM O&amp;G Production'!$K$3:$O$537,MATCH($CY67,'NM O&amp;G Production'!$P$3:$P$537,0),MATCH(DD$2,'NM O&amp;G Production'!$K$2:$O$2,0))</f>
        <v>9327277</v>
      </c>
      <c r="DE67" s="127">
        <f>INDEX('NM O&amp;G Production'!$K$3:$O$537,MATCH($CY67,'NM O&amp;G Production'!$P$3:$P$537,0),MATCH(DE$2,'NM O&amp;G Production'!$K$2:$O$2,0))</f>
        <v>3812204</v>
      </c>
      <c r="DF67" s="258">
        <f>CK67/(DB67+DA67)</f>
        <v>13048234</v>
      </c>
      <c r="DG67" s="57">
        <f>DD67*(12/18)*1.06*'Oil and Gas Prices'!$C$18</f>
        <v>15753149.034533333</v>
      </c>
      <c r="DH67" s="284">
        <f>DE67*(12/18)*'Oil and Gas Prices'!$C$4</f>
        <v>114366119.99999999</v>
      </c>
      <c r="DI67" s="284">
        <f>DG67+DH67</f>
        <v>130119269.03453332</v>
      </c>
      <c r="DJ67" s="57">
        <f>(DG67+DH67)/(DA67+DB67)</f>
        <v>2502293.6352794869</v>
      </c>
      <c r="DK67" s="318"/>
    </row>
    <row r="68" spans="1:115" x14ac:dyDescent="0.25">
      <c r="A68" t="s">
        <v>3170</v>
      </c>
      <c r="B68" t="s">
        <v>3171</v>
      </c>
      <c r="D68" t="s">
        <v>183</v>
      </c>
      <c r="E68" t="s">
        <v>184</v>
      </c>
      <c r="F68" t="s">
        <v>3172</v>
      </c>
      <c r="G68" t="s">
        <v>62</v>
      </c>
      <c r="I68">
        <v>466</v>
      </c>
      <c r="J68" t="s">
        <v>63</v>
      </c>
      <c r="K68" t="s">
        <v>4133</v>
      </c>
      <c r="L68" t="s">
        <v>149</v>
      </c>
      <c r="M68">
        <v>10</v>
      </c>
      <c r="N68" t="s">
        <v>3173</v>
      </c>
      <c r="O68" t="s">
        <v>3174</v>
      </c>
      <c r="Q68" t="s">
        <v>3175</v>
      </c>
      <c r="R68" t="s">
        <v>183</v>
      </c>
      <c r="S68" t="s">
        <v>188</v>
      </c>
      <c r="T68" t="s">
        <v>3176</v>
      </c>
      <c r="U68" t="s">
        <v>62</v>
      </c>
      <c r="V68">
        <v>9183827200</v>
      </c>
      <c r="W68" s="1">
        <v>14852194</v>
      </c>
      <c r="X68">
        <v>80</v>
      </c>
      <c r="Y68">
        <v>80</v>
      </c>
      <c r="Z68">
        <v>2018</v>
      </c>
      <c r="AA68" t="s">
        <v>70</v>
      </c>
      <c r="AB68" t="s">
        <v>3177</v>
      </c>
      <c r="AC68" t="s">
        <v>98</v>
      </c>
      <c r="AD68" t="s">
        <v>1027</v>
      </c>
      <c r="AE68">
        <v>4922</v>
      </c>
      <c r="AF68" t="s">
        <v>1028</v>
      </c>
      <c r="AI68">
        <v>49229901</v>
      </c>
      <c r="AJ68" t="s">
        <v>1108</v>
      </c>
      <c r="AM68">
        <v>486210</v>
      </c>
      <c r="AN68" t="s">
        <v>1029</v>
      </c>
      <c r="AQ68" t="s">
        <v>168</v>
      </c>
      <c r="AR68" t="s">
        <v>3178</v>
      </c>
      <c r="AS68" t="s">
        <v>3179</v>
      </c>
      <c r="AT68" t="s">
        <v>76</v>
      </c>
      <c r="AU68" t="s">
        <v>184</v>
      </c>
      <c r="AV68" t="s">
        <v>62</v>
      </c>
      <c r="AW68" t="s">
        <v>3178</v>
      </c>
      <c r="AX68" t="s">
        <v>3179</v>
      </c>
      <c r="AY68" t="s">
        <v>184</v>
      </c>
      <c r="AZ68" t="s">
        <v>62</v>
      </c>
      <c r="BA68" t="s">
        <v>3178</v>
      </c>
      <c r="BC68" t="s">
        <v>3179</v>
      </c>
      <c r="BD68" t="s">
        <v>184</v>
      </c>
      <c r="BE68" t="s">
        <v>62</v>
      </c>
      <c r="BF68">
        <v>2</v>
      </c>
      <c r="BG68">
        <v>24</v>
      </c>
      <c r="BH68" s="4" t="s">
        <v>3178</v>
      </c>
      <c r="BI68" s="4" t="s">
        <v>3179</v>
      </c>
      <c r="BK68" s="4" t="s">
        <v>3175</v>
      </c>
      <c r="BL68" s="4" t="s">
        <v>183</v>
      </c>
      <c r="BM68" s="4" t="s">
        <v>188</v>
      </c>
      <c r="BN68" s="4" t="s">
        <v>3176</v>
      </c>
      <c r="BO68" s="4" t="s">
        <v>62</v>
      </c>
      <c r="BP68" s="4">
        <v>9184937700</v>
      </c>
      <c r="BQ68" s="5">
        <v>674634000</v>
      </c>
      <c r="BR68" s="4">
        <v>87</v>
      </c>
      <c r="BS68" s="6">
        <v>1375</v>
      </c>
      <c r="BT68" s="4">
        <v>1963</v>
      </c>
      <c r="BU68" s="4" t="s">
        <v>163</v>
      </c>
      <c r="BV68" s="4" t="s">
        <v>4216</v>
      </c>
      <c r="BW68" s="4" t="s">
        <v>98</v>
      </c>
      <c r="BX68" s="4" t="s">
        <v>517</v>
      </c>
      <c r="BY68" s="4">
        <v>1381</v>
      </c>
      <c r="BZ68" s="4" t="s">
        <v>518</v>
      </c>
      <c r="CA68" s="4">
        <v>1382</v>
      </c>
      <c r="CB68" s="4" t="s">
        <v>120</v>
      </c>
      <c r="CC68" s="4">
        <v>13810000</v>
      </c>
      <c r="CD68" s="4" t="s">
        <v>519</v>
      </c>
      <c r="CE68" s="4">
        <v>13820000</v>
      </c>
      <c r="CF68" s="4" t="s">
        <v>119</v>
      </c>
      <c r="CG68" s="4">
        <v>213111</v>
      </c>
      <c r="CH68" s="4" t="s">
        <v>518</v>
      </c>
      <c r="CI68" s="4">
        <v>213112</v>
      </c>
      <c r="CJ68" s="4" t="s">
        <v>74</v>
      </c>
      <c r="CK68" s="19">
        <f>IF(BQ68&gt;0,BQ68,W68)</f>
        <v>674634000</v>
      </c>
      <c r="CL68" s="20">
        <f>IF(BS68&gt;0,BS68,Y68)</f>
        <v>1375</v>
      </c>
      <c r="CM68" s="34">
        <f>IF(CG68&gt;0,CG68,AM68)</f>
        <v>213111</v>
      </c>
      <c r="CN68" s="80">
        <f>IF($BH68="",1,COUNTIF($BH$3:$BH68,$BH68))</f>
        <v>1</v>
      </c>
      <c r="CP68" t="str">
        <f>IF($K68="Standard Match","Match",IF($K68="Name Only Match",IF($CO68="Yes","Match","Name Only Match"),"No Match"))</f>
        <v>Match</v>
      </c>
      <c r="CQ68" s="35" t="str">
        <f>IF(AND(CP68="Match",CK68&gt;0,CL68&gt;0),"Y","N")</f>
        <v>Y</v>
      </c>
      <c r="CS68" t="str">
        <f>IF($CQ68="Y",VLOOKUP($CM68,'SBA Size Standards'!$B$3:$G$57,MATCH('SBA Size Standards'!$G$3,'SBA Size Standards'!$B$3:$G$3,0),FALSE),"")</f>
        <v>Employment</v>
      </c>
      <c r="CT68" s="60" t="str">
        <f>IF(CQ68="Y",IF($CS68="Employment","N/A",VLOOKUP($CM68,'SBA Size Standards'!$B$3:$G$57,MATCH('SBA Size Standards'!$E$3,'SBA Size Standards'!$B$3:$G$3,0),FALSE)),"")</f>
        <v>N/A</v>
      </c>
      <c r="CU68" s="86">
        <f>IF($CQ68="Y",IF($CS68="Revenue","N/A",VLOOKUP($CM68,'SBA Size Standards'!$B$3:$G$57,MATCH('SBA Size Standards'!$F$3,'SBA Size Standards'!$B$3:$G$3,0),FALSE)),"")</f>
        <v>1000</v>
      </c>
      <c r="CV68" t="str">
        <f>IF($CQ68="Y",IF(OR(AND($CS68="Employment",$CL68&lt;$CU68),AND($CS68="Revenue",$CK68&lt;$CT68)),"YES","NO"),"")</f>
        <v>NO</v>
      </c>
      <c r="CW68" s="90" t="str">
        <f>IF($CQ68="Y",INDEX('SBA Size Standards'!$N$3:$N$12,MATCH($CK68,'SBA Size Standards'!$O$3:$O$12,1)),"")</f>
        <v>$100,000,001 - $1,000,000,000</v>
      </c>
      <c r="CX68" s="122" t="s">
        <v>4761</v>
      </c>
      <c r="CY68" s="122">
        <f>INDEX('NM O&amp;G Production'!$P$3:$P$537,MATCH(CX68,'NM O&amp;G Production'!$Q$3:$Q$537,0))</f>
        <v>466</v>
      </c>
      <c r="CZ68" s="122" t="str">
        <f>INDEX('NM O&amp;G Production'!$O$3:$O$537,MATCH(CY68,'NM O&amp;G Production'!$P$3:$P$537,0))</f>
        <v>No</v>
      </c>
      <c r="DA68" s="127">
        <f>INDEX('NM O&amp;G Production'!$K$3:$O$537,MATCH($CY68,'NM O&amp;G Production'!$P$3:$P$537,0),MATCH(DA$2,'NM O&amp;G Production'!$K$2:$O$2,0))</f>
        <v>0</v>
      </c>
      <c r="DB68" s="127">
        <f>INDEX('NM O&amp;G Production'!$K$3:$O$537,MATCH($CY68,'NM O&amp;G Production'!$P$3:$P$537,0),MATCH(DB$2,'NM O&amp;G Production'!$K$2:$O$2,0))</f>
        <v>0</v>
      </c>
      <c r="DC68" s="127"/>
      <c r="DD68" s="127">
        <f>INDEX('NM O&amp;G Production'!$K$3:$O$537,MATCH($CY68,'NM O&amp;G Production'!$P$3:$P$537,0),MATCH(DD$2,'NM O&amp;G Production'!$K$2:$O$2,0))</f>
        <v>0</v>
      </c>
      <c r="DE68" s="127">
        <f>INDEX('NM O&amp;G Production'!$K$3:$O$537,MATCH($CY68,'NM O&amp;G Production'!$P$3:$P$537,0),MATCH(DE$2,'NM O&amp;G Production'!$K$2:$O$2,0))</f>
        <v>0</v>
      </c>
      <c r="DF68" s="258" t="e">
        <f>CK68/(DB68+DA68)</f>
        <v>#DIV/0!</v>
      </c>
      <c r="DG68" s="57">
        <f>DD68*(12/18)*1.06*'Oil and Gas Prices'!$C$18</f>
        <v>0</v>
      </c>
      <c r="DH68" s="284">
        <f>DE68*(12/18)*'Oil and Gas Prices'!$C$4</f>
        <v>0</v>
      </c>
      <c r="DI68" s="284"/>
      <c r="DJ68" s="57" t="e">
        <f>(DG68+DH68)/(DA68+DB68)</f>
        <v>#DIV/0!</v>
      </c>
      <c r="DK68" s="18" t="e">
        <f>CK68/DI68</f>
        <v>#DIV/0!</v>
      </c>
    </row>
    <row r="69" spans="1:115" x14ac:dyDescent="0.25">
      <c r="A69" t="s">
        <v>558</v>
      </c>
      <c r="B69" t="s">
        <v>559</v>
      </c>
      <c r="D69" t="s">
        <v>60</v>
      </c>
      <c r="E69" t="s">
        <v>61</v>
      </c>
      <c r="F69">
        <v>80202</v>
      </c>
      <c r="G69" t="s">
        <v>62</v>
      </c>
      <c r="I69">
        <v>69</v>
      </c>
      <c r="J69" t="s">
        <v>63</v>
      </c>
      <c r="K69" t="s">
        <v>4133</v>
      </c>
      <c r="L69" t="s">
        <v>247</v>
      </c>
      <c r="M69">
        <v>10</v>
      </c>
      <c r="N69" t="s">
        <v>560</v>
      </c>
      <c r="O69" t="s">
        <v>561</v>
      </c>
      <c r="Q69" t="s">
        <v>562</v>
      </c>
      <c r="R69" t="s">
        <v>60</v>
      </c>
      <c r="S69" t="s">
        <v>68</v>
      </c>
      <c r="T69" t="s">
        <v>563</v>
      </c>
      <c r="U69" t="s">
        <v>62</v>
      </c>
      <c r="V69">
        <v>7204415515</v>
      </c>
      <c r="W69" s="1">
        <v>17790214</v>
      </c>
      <c r="X69">
        <v>35</v>
      </c>
      <c r="Y69">
        <v>35</v>
      </c>
      <c r="Z69">
        <v>2013</v>
      </c>
      <c r="AA69" t="s">
        <v>70</v>
      </c>
      <c r="AB69" t="s">
        <v>564</v>
      </c>
      <c r="AC69" t="s">
        <v>133</v>
      </c>
      <c r="AD69" t="s">
        <v>517</v>
      </c>
      <c r="AE69">
        <v>1381</v>
      </c>
      <c r="AF69" t="s">
        <v>518</v>
      </c>
      <c r="AI69">
        <v>13810000</v>
      </c>
      <c r="AJ69" t="s">
        <v>519</v>
      </c>
      <c r="AM69">
        <v>213111</v>
      </c>
      <c r="AN69" t="s">
        <v>518</v>
      </c>
      <c r="AQ69" t="s">
        <v>168</v>
      </c>
      <c r="AR69" t="s">
        <v>565</v>
      </c>
      <c r="AS69" t="s">
        <v>566</v>
      </c>
      <c r="AT69" t="s">
        <v>76</v>
      </c>
      <c r="AU69" t="s">
        <v>61</v>
      </c>
      <c r="AV69" t="s">
        <v>62</v>
      </c>
      <c r="AW69" t="s">
        <v>565</v>
      </c>
      <c r="AX69" t="s">
        <v>566</v>
      </c>
      <c r="AY69" t="s">
        <v>61</v>
      </c>
      <c r="AZ69" t="s">
        <v>62</v>
      </c>
      <c r="BA69" t="s">
        <v>565</v>
      </c>
      <c r="BC69" t="s">
        <v>566</v>
      </c>
      <c r="BD69" t="s">
        <v>61</v>
      </c>
      <c r="BE69" t="s">
        <v>62</v>
      </c>
      <c r="BF69">
        <v>2</v>
      </c>
      <c r="BG69">
        <v>4</v>
      </c>
      <c r="BH69" s="4" t="s">
        <v>565</v>
      </c>
      <c r="BI69" s="4" t="s">
        <v>566</v>
      </c>
      <c r="BK69" s="4" t="s">
        <v>4151</v>
      </c>
      <c r="BL69" s="4" t="s">
        <v>60</v>
      </c>
      <c r="BM69" s="4" t="s">
        <v>68</v>
      </c>
      <c r="BN69" s="4" t="s">
        <v>4152</v>
      </c>
      <c r="BO69" s="4" t="s">
        <v>62</v>
      </c>
      <c r="BP69" s="4">
        <v>7204991400</v>
      </c>
      <c r="BQ69" s="5">
        <v>580456000</v>
      </c>
      <c r="BR69" s="4">
        <v>19</v>
      </c>
      <c r="BS69" s="4">
        <v>119</v>
      </c>
      <c r="BT69" s="4">
        <v>2015</v>
      </c>
      <c r="BU69" s="4" t="s">
        <v>163</v>
      </c>
      <c r="BV69" s="4" t="s">
        <v>4153</v>
      </c>
      <c r="BW69" s="4" t="s">
        <v>165</v>
      </c>
      <c r="BX69" s="4" t="s">
        <v>99</v>
      </c>
      <c r="BY69" s="4">
        <v>1311</v>
      </c>
      <c r="BZ69" s="4" t="s">
        <v>100</v>
      </c>
      <c r="CC69" s="4">
        <v>13110101</v>
      </c>
      <c r="CD69" s="4" t="s">
        <v>102</v>
      </c>
      <c r="CG69" s="4">
        <v>211120</v>
      </c>
      <c r="CH69" s="4" t="s">
        <v>104</v>
      </c>
      <c r="CK69" s="19">
        <f>IF(BQ69&gt;0,BQ69,W69)</f>
        <v>580456000</v>
      </c>
      <c r="CL69" s="20">
        <f>IF(BS69&gt;0,BS69,Y69)</f>
        <v>119</v>
      </c>
      <c r="CM69" s="34">
        <f>IF(CG69&gt;0,CG69,AM69)</f>
        <v>211120</v>
      </c>
      <c r="CN69" s="80">
        <f>IF($BH69="",1,COUNTIF($BH$3:$BH69,$BH69))</f>
        <v>1</v>
      </c>
      <c r="CP69" t="str">
        <f>IF($K69="Standard Match","Match",IF($K69="Name Only Match",IF($CO69="Yes","Match","Name Only Match"),"No Match"))</f>
        <v>Match</v>
      </c>
      <c r="CQ69" s="35" t="str">
        <f>IF(AND(CP69="Match",CK69&gt;0,CL69&gt;0),"Y","N")</f>
        <v>Y</v>
      </c>
      <c r="CS69" t="str">
        <f>IF($CQ69="Y",VLOOKUP($CM69,'SBA Size Standards'!$B$3:$G$57,MATCH('SBA Size Standards'!$G$3,'SBA Size Standards'!$B$3:$G$3,0),FALSE),"")</f>
        <v>Employment</v>
      </c>
      <c r="CT69" s="60" t="str">
        <f>IF(CQ69="Y",IF($CS69="Employment","N/A",VLOOKUP($CM69,'SBA Size Standards'!$B$3:$G$57,MATCH('SBA Size Standards'!$E$3,'SBA Size Standards'!$B$3:$G$3,0),FALSE)),"")</f>
        <v>N/A</v>
      </c>
      <c r="CU69" s="86">
        <f>IF($CQ69="Y",IF($CS69="Revenue","N/A",VLOOKUP($CM69,'SBA Size Standards'!$B$3:$G$57,MATCH('SBA Size Standards'!$F$3,'SBA Size Standards'!$B$3:$G$3,0),FALSE)),"")</f>
        <v>1250</v>
      </c>
      <c r="CV69" t="str">
        <f>IF($CQ69="Y",IF(OR(AND($CS69="Employment",$CL69&lt;$CU69),AND($CS69="Revenue",$CK69&lt;$CT69)),"YES","NO"),"")</f>
        <v>YES</v>
      </c>
      <c r="CW69" s="90" t="str">
        <f>IF($CQ69="Y",INDEX('SBA Size Standards'!$N$3:$N$12,MATCH($CK69,'SBA Size Standards'!$O$3:$O$12,1)),"")</f>
        <v>$100,000,001 - $1,000,000,000</v>
      </c>
      <c r="CX69" s="122" t="s">
        <v>4563</v>
      </c>
      <c r="CY69" s="122">
        <f>INDEX('NM O&amp;G Production'!$P$3:$P$537,MATCH(CX69,'NM O&amp;G Production'!$Q$3:$Q$537,0))</f>
        <v>69</v>
      </c>
      <c r="CZ69" s="122" t="str">
        <f>INDEX('NM O&amp;G Production'!$O$3:$O$537,MATCH(CY69,'NM O&amp;G Production'!$P$3:$P$537,0))</f>
        <v>Yes</v>
      </c>
      <c r="DA69" s="127">
        <f>INDEX('NM O&amp;G Production'!$K$3:$O$537,MATCH($CY69,'NM O&amp;G Production'!$P$3:$P$537,0),MATCH(DA$2,'NM O&amp;G Production'!$K$2:$O$2,0))</f>
        <v>62</v>
      </c>
      <c r="DB69" s="127">
        <f>INDEX('NM O&amp;G Production'!$K$3:$O$537,MATCH($CY69,'NM O&amp;G Production'!$P$3:$P$537,0),MATCH(DB$2,'NM O&amp;G Production'!$K$2:$O$2,0))</f>
        <v>6</v>
      </c>
      <c r="DC69" s="127">
        <f>DA69+DB69</f>
        <v>68</v>
      </c>
      <c r="DD69" s="127">
        <f>INDEX('NM O&amp;G Production'!$K$3:$O$537,MATCH($CY69,'NM O&amp;G Production'!$P$3:$P$537,0),MATCH(DD$2,'NM O&amp;G Production'!$K$2:$O$2,0))</f>
        <v>9171846</v>
      </c>
      <c r="DE69" s="127">
        <f>INDEX('NM O&amp;G Production'!$K$3:$O$537,MATCH($CY69,'NM O&amp;G Production'!$P$3:$P$537,0),MATCH(DE$2,'NM O&amp;G Production'!$K$2:$O$2,0))</f>
        <v>5114455</v>
      </c>
      <c r="DF69" s="258">
        <f>CK69/(DB69+DA69)</f>
        <v>8536117.6470588241</v>
      </c>
      <c r="DG69" s="57">
        <f>DD69*(12/18)*1.06*'Oil and Gas Prices'!$C$18</f>
        <v>15490636.437600004</v>
      </c>
      <c r="DH69" s="284">
        <f>DE69*(12/18)*'Oil and Gas Prices'!$C$4</f>
        <v>153433650</v>
      </c>
      <c r="DI69" s="284">
        <f>DG69+DH69</f>
        <v>168924286.43760002</v>
      </c>
      <c r="DJ69" s="57">
        <f>(DG69+DH69)/(DA69+DB69)</f>
        <v>2484180.6829058826</v>
      </c>
      <c r="DK69" s="318"/>
    </row>
    <row r="70" spans="1:115" x14ac:dyDescent="0.25">
      <c r="A70" t="s">
        <v>1045</v>
      </c>
      <c r="B70" t="s">
        <v>1046</v>
      </c>
      <c r="D70" t="s">
        <v>153</v>
      </c>
      <c r="E70" t="s">
        <v>80</v>
      </c>
      <c r="F70">
        <v>79701</v>
      </c>
      <c r="G70" t="s">
        <v>62</v>
      </c>
      <c r="I70">
        <v>138</v>
      </c>
      <c r="J70" t="s">
        <v>63</v>
      </c>
      <c r="K70" t="s">
        <v>4133</v>
      </c>
      <c r="L70" t="s">
        <v>64</v>
      </c>
      <c r="M70">
        <v>10</v>
      </c>
      <c r="N70" t="s">
        <v>1047</v>
      </c>
      <c r="O70" t="s">
        <v>1048</v>
      </c>
      <c r="Q70" t="s">
        <v>1049</v>
      </c>
      <c r="R70" t="s">
        <v>153</v>
      </c>
      <c r="S70" t="s">
        <v>94</v>
      </c>
      <c r="T70" t="s">
        <v>1050</v>
      </c>
      <c r="U70" t="s">
        <v>62</v>
      </c>
      <c r="V70">
        <v>4326871575</v>
      </c>
      <c r="W70" s="1">
        <v>543972656</v>
      </c>
      <c r="X70">
        <v>30</v>
      </c>
      <c r="Y70">
        <v>300</v>
      </c>
      <c r="Z70">
        <v>2000</v>
      </c>
      <c r="AA70" t="s">
        <v>163</v>
      </c>
      <c r="AB70" t="s">
        <v>1051</v>
      </c>
      <c r="AC70" t="s">
        <v>242</v>
      </c>
      <c r="AD70" t="s">
        <v>99</v>
      </c>
      <c r="AE70">
        <v>1311</v>
      </c>
      <c r="AF70" t="s">
        <v>100</v>
      </c>
      <c r="AG70">
        <v>8748</v>
      </c>
      <c r="AH70" t="s">
        <v>657</v>
      </c>
      <c r="AI70">
        <v>13110101</v>
      </c>
      <c r="AJ70" t="s">
        <v>102</v>
      </c>
      <c r="AK70">
        <v>87480000</v>
      </c>
      <c r="AL70" t="s">
        <v>658</v>
      </c>
      <c r="AM70">
        <v>211120</v>
      </c>
      <c r="AN70" t="s">
        <v>104</v>
      </c>
      <c r="AO70">
        <v>541618</v>
      </c>
      <c r="AP70" t="s">
        <v>659</v>
      </c>
      <c r="AQ70" t="s">
        <v>75</v>
      </c>
      <c r="AR70" t="s">
        <v>1047</v>
      </c>
      <c r="AS70" t="s">
        <v>1048</v>
      </c>
      <c r="AT70" t="s">
        <v>427</v>
      </c>
      <c r="AU70" t="s">
        <v>80</v>
      </c>
      <c r="AV70" t="s">
        <v>62</v>
      </c>
      <c r="AW70" t="s">
        <v>1047</v>
      </c>
      <c r="AX70" t="s">
        <v>1048</v>
      </c>
      <c r="AY70" t="s">
        <v>80</v>
      </c>
      <c r="AZ70" t="s">
        <v>62</v>
      </c>
      <c r="BE70" t="s">
        <v>62</v>
      </c>
      <c r="BF70">
        <v>1</v>
      </c>
      <c r="BG70">
        <v>10</v>
      </c>
      <c r="BH70" s="4" t="s">
        <v>1047</v>
      </c>
      <c r="BI70" s="4" t="s">
        <v>1048</v>
      </c>
      <c r="BK70" s="4" t="s">
        <v>1049</v>
      </c>
      <c r="BL70" s="4" t="s">
        <v>153</v>
      </c>
      <c r="BM70" s="4" t="s">
        <v>94</v>
      </c>
      <c r="BN70" s="4" t="s">
        <v>1050</v>
      </c>
      <c r="BO70" s="4" t="s">
        <v>62</v>
      </c>
      <c r="BP70" s="4">
        <v>4326871575</v>
      </c>
      <c r="BQ70" s="5">
        <v>543972656</v>
      </c>
      <c r="BR70" s="4">
        <v>30</v>
      </c>
      <c r="BS70" s="4">
        <v>300</v>
      </c>
      <c r="BT70" s="4">
        <v>2000</v>
      </c>
      <c r="BU70" s="4" t="s">
        <v>163</v>
      </c>
      <c r="BV70" s="4" t="s">
        <v>1051</v>
      </c>
      <c r="BW70" s="4" t="s">
        <v>242</v>
      </c>
      <c r="BX70" s="4" t="s">
        <v>99</v>
      </c>
      <c r="BY70" s="4">
        <v>1311</v>
      </c>
      <c r="BZ70" s="4" t="s">
        <v>100</v>
      </c>
      <c r="CA70" s="4">
        <v>8748</v>
      </c>
      <c r="CB70" s="4" t="s">
        <v>657</v>
      </c>
      <c r="CC70" s="4">
        <v>13110101</v>
      </c>
      <c r="CD70" s="4" t="s">
        <v>102</v>
      </c>
      <c r="CE70" s="4">
        <v>87480000</v>
      </c>
      <c r="CF70" s="4" t="s">
        <v>658</v>
      </c>
      <c r="CG70" s="4">
        <v>211120</v>
      </c>
      <c r="CH70" s="4" t="s">
        <v>104</v>
      </c>
      <c r="CI70" s="4">
        <v>541618</v>
      </c>
      <c r="CJ70" s="4" t="s">
        <v>659</v>
      </c>
      <c r="CK70" s="19">
        <f>IF(BQ70&gt;0,BQ70,W70)</f>
        <v>543972656</v>
      </c>
      <c r="CL70" s="20">
        <f>IF(BS70&gt;0,BS70,Y70)</f>
        <v>300</v>
      </c>
      <c r="CM70" s="34">
        <f>IF(CG70&gt;0,CG70,AM70)</f>
        <v>211120</v>
      </c>
      <c r="CN70" s="80">
        <f>IF($BH70="",1,COUNTIF($BH$3:$BH70,$BH70))</f>
        <v>1</v>
      </c>
      <c r="CP70" t="str">
        <f>IF($K70="Standard Match","Match",IF($K70="Name Only Match",IF($CO70="Yes","Match","Name Only Match"),"No Match"))</f>
        <v>Match</v>
      </c>
      <c r="CQ70" s="35" t="str">
        <f>IF(AND(CP70="Match",CK70&gt;0,CL70&gt;0),"Y","N")</f>
        <v>Y</v>
      </c>
      <c r="CS70" t="str">
        <f>IF($CQ70="Y",VLOOKUP($CM70,'SBA Size Standards'!$B$3:$G$57,MATCH('SBA Size Standards'!$G$3,'SBA Size Standards'!$B$3:$G$3,0),FALSE),"")</f>
        <v>Employment</v>
      </c>
      <c r="CT70" s="60" t="str">
        <f>IF(CQ70="Y",IF($CS70="Employment","N/A",VLOOKUP($CM70,'SBA Size Standards'!$B$3:$G$57,MATCH('SBA Size Standards'!$E$3,'SBA Size Standards'!$B$3:$G$3,0),FALSE)),"")</f>
        <v>N/A</v>
      </c>
      <c r="CU70" s="86">
        <f>IF($CQ70="Y",IF($CS70="Revenue","N/A",VLOOKUP($CM70,'SBA Size Standards'!$B$3:$G$57,MATCH('SBA Size Standards'!$F$3,'SBA Size Standards'!$B$3:$G$3,0),FALSE)),"")</f>
        <v>1250</v>
      </c>
      <c r="CV70" t="str">
        <f>IF($CQ70="Y",IF(OR(AND($CS70="Employment",$CL70&lt;$CU70),AND($CS70="Revenue",$CK70&lt;$CT70)),"YES","NO"),"")</f>
        <v>YES</v>
      </c>
      <c r="CW70" s="90" t="str">
        <f>IF($CQ70="Y",INDEX('SBA Size Standards'!$N$3:$N$12,MATCH($CK70,'SBA Size Standards'!$O$3:$O$12,1)),"")</f>
        <v>$100,000,001 - $1,000,000,000</v>
      </c>
      <c r="CX70" s="122" t="s">
        <v>4594</v>
      </c>
      <c r="CY70" s="122">
        <f>INDEX('NM O&amp;G Production'!$P$3:$P$537,MATCH(CX70,'NM O&amp;G Production'!$Q$3:$Q$537,0))</f>
        <v>138</v>
      </c>
      <c r="CZ70" s="122" t="str">
        <f>INDEX('NM O&amp;G Production'!$O$3:$O$537,MATCH(CY70,'NM O&amp;G Production'!$P$3:$P$537,0))</f>
        <v>Yes</v>
      </c>
      <c r="DA70" s="127">
        <f>INDEX('NM O&amp;G Production'!$K$3:$O$537,MATCH($CY70,'NM O&amp;G Production'!$P$3:$P$537,0),MATCH(DA$2,'NM O&amp;G Production'!$K$2:$O$2,0))</f>
        <v>35</v>
      </c>
      <c r="DB70" s="127">
        <f>INDEX('NM O&amp;G Production'!$K$3:$O$537,MATCH($CY70,'NM O&amp;G Production'!$P$3:$P$537,0),MATCH(DB$2,'NM O&amp;G Production'!$K$2:$O$2,0))</f>
        <v>58</v>
      </c>
      <c r="DC70" s="127">
        <f>DA70+DB70</f>
        <v>93</v>
      </c>
      <c r="DD70" s="127">
        <f>INDEX('NM O&amp;G Production'!$K$3:$O$537,MATCH($CY70,'NM O&amp;G Production'!$P$3:$P$537,0),MATCH(DD$2,'NM O&amp;G Production'!$K$2:$O$2,0))</f>
        <v>1712800</v>
      </c>
      <c r="DE70" s="127">
        <f>INDEX('NM O&amp;G Production'!$K$3:$O$537,MATCH($CY70,'NM O&amp;G Production'!$P$3:$P$537,0),MATCH(DE$2,'NM O&amp;G Production'!$K$2:$O$2,0))</f>
        <v>30933</v>
      </c>
      <c r="DF70" s="258">
        <f>CK70/(DB70+DA70)</f>
        <v>5849168.3440860212</v>
      </c>
      <c r="DG70" s="57">
        <f>DD70*(12/18)*1.06*'Oil and Gas Prices'!$C$18</f>
        <v>2892805.0133333332</v>
      </c>
      <c r="DH70" s="284">
        <f>DE70*(12/18)*'Oil and Gas Prices'!$C$4</f>
        <v>927990</v>
      </c>
      <c r="DI70" s="284">
        <f>DG70+DH70</f>
        <v>3820795.0133333332</v>
      </c>
      <c r="DJ70" s="57">
        <f>(DG70+DH70)/(DA70+DB70)</f>
        <v>41083.81734767025</v>
      </c>
      <c r="DK70" s="318"/>
    </row>
    <row r="71" spans="1:115" x14ac:dyDescent="0.25">
      <c r="A71" t="s">
        <v>3561</v>
      </c>
      <c r="B71" t="s">
        <v>3562</v>
      </c>
      <c r="D71" t="s">
        <v>60</v>
      </c>
      <c r="E71" t="s">
        <v>61</v>
      </c>
      <c r="F71">
        <v>80203</v>
      </c>
      <c r="G71" t="s">
        <v>62</v>
      </c>
      <c r="I71">
        <v>524</v>
      </c>
      <c r="J71" t="s">
        <v>63</v>
      </c>
      <c r="K71" t="s">
        <v>4133</v>
      </c>
      <c r="L71" t="s">
        <v>1810</v>
      </c>
      <c r="M71">
        <v>9</v>
      </c>
      <c r="N71" t="s">
        <v>3563</v>
      </c>
      <c r="O71" t="s">
        <v>3564</v>
      </c>
      <c r="P71" t="s">
        <v>3565</v>
      </c>
      <c r="Q71" t="s">
        <v>3566</v>
      </c>
      <c r="R71" t="s">
        <v>60</v>
      </c>
      <c r="S71" t="s">
        <v>68</v>
      </c>
      <c r="T71" t="s">
        <v>3567</v>
      </c>
      <c r="U71" t="s">
        <v>62</v>
      </c>
      <c r="V71">
        <v>3038371661</v>
      </c>
      <c r="W71" s="289">
        <v>535864982</v>
      </c>
      <c r="X71">
        <v>249</v>
      </c>
      <c r="Y71">
        <v>300</v>
      </c>
      <c r="Z71">
        <v>1980</v>
      </c>
      <c r="AA71" t="s">
        <v>163</v>
      </c>
      <c r="AB71" t="s">
        <v>3568</v>
      </c>
      <c r="AC71" t="s">
        <v>133</v>
      </c>
      <c r="AD71" t="s">
        <v>99</v>
      </c>
      <c r="AE71">
        <v>1311</v>
      </c>
      <c r="AF71" t="s">
        <v>100</v>
      </c>
      <c r="AI71">
        <v>13110101</v>
      </c>
      <c r="AJ71" t="s">
        <v>102</v>
      </c>
      <c r="AM71">
        <v>211120</v>
      </c>
      <c r="AN71" t="s">
        <v>104</v>
      </c>
      <c r="AQ71" t="s">
        <v>168</v>
      </c>
      <c r="AR71" t="s">
        <v>3569</v>
      </c>
      <c r="AS71" t="s">
        <v>3570</v>
      </c>
      <c r="AT71" t="s">
        <v>76</v>
      </c>
      <c r="AU71" t="s">
        <v>61</v>
      </c>
      <c r="AV71" t="s">
        <v>62</v>
      </c>
      <c r="AW71" t="s">
        <v>3569</v>
      </c>
      <c r="AX71" t="s">
        <v>3570</v>
      </c>
      <c r="AY71" t="s">
        <v>61</v>
      </c>
      <c r="AZ71" t="s">
        <v>62</v>
      </c>
      <c r="BA71" t="s">
        <v>3569</v>
      </c>
      <c r="BC71" t="s">
        <v>3570</v>
      </c>
      <c r="BD71" t="s">
        <v>61</v>
      </c>
      <c r="BE71" t="s">
        <v>62</v>
      </c>
      <c r="BF71">
        <v>2</v>
      </c>
      <c r="BG71">
        <v>17</v>
      </c>
      <c r="BH71" s="4" t="s">
        <v>3569</v>
      </c>
      <c r="BI71" s="4" t="s">
        <v>3570</v>
      </c>
      <c r="BJ71" s="4" t="s">
        <v>4253</v>
      </c>
      <c r="BK71" s="4" t="s">
        <v>4254</v>
      </c>
      <c r="BL71" s="4" t="s">
        <v>60</v>
      </c>
      <c r="BM71" s="4" t="s">
        <v>68</v>
      </c>
      <c r="BN71" s="4" t="s">
        <v>4255</v>
      </c>
      <c r="BO71" s="4" t="s">
        <v>62</v>
      </c>
      <c r="BP71" s="4">
        <v>3038371661</v>
      </c>
      <c r="BQ71" s="5">
        <v>273358000</v>
      </c>
      <c r="BR71" s="4">
        <v>127</v>
      </c>
      <c r="BS71" s="4">
        <v>830</v>
      </c>
      <c r="BT71" s="4">
        <v>1980</v>
      </c>
      <c r="BU71" s="4" t="s">
        <v>163</v>
      </c>
      <c r="BV71" s="4" t="s">
        <v>4256</v>
      </c>
      <c r="BW71" s="4" t="s">
        <v>98</v>
      </c>
      <c r="BX71" s="4" t="s">
        <v>99</v>
      </c>
      <c r="BY71" s="4">
        <v>1311</v>
      </c>
      <c r="BZ71" s="4" t="s">
        <v>100</v>
      </c>
      <c r="CA71" s="4">
        <v>1382</v>
      </c>
      <c r="CB71" s="4" t="s">
        <v>120</v>
      </c>
      <c r="CC71" s="4">
        <v>13110102</v>
      </c>
      <c r="CD71" s="4" t="s">
        <v>599</v>
      </c>
      <c r="CE71" s="4">
        <v>13820000</v>
      </c>
      <c r="CF71" s="4" t="s">
        <v>119</v>
      </c>
      <c r="CG71" s="4">
        <v>211120</v>
      </c>
      <c r="CH71" s="4" t="s">
        <v>104</v>
      </c>
      <c r="CI71" s="4">
        <v>213112</v>
      </c>
      <c r="CJ71" s="4" t="s">
        <v>74</v>
      </c>
      <c r="CK71" s="19">
        <f>W71</f>
        <v>535864982</v>
      </c>
      <c r="CL71" s="20">
        <f>IF(BS71&gt;0,BS71,Y71)</f>
        <v>830</v>
      </c>
      <c r="CM71" s="34">
        <f>IF(CG71&gt;0,CG71,AM71)</f>
        <v>211120</v>
      </c>
      <c r="CN71" s="80">
        <f>IF($BH71="",1,COUNTIF($BH$3:$BH71,$BH71))</f>
        <v>1</v>
      </c>
      <c r="CP71" t="str">
        <f>IF($K71="Standard Match","Match",IF($K71="Name Only Match",IF($CO71="Yes","Match","Name Only Match"),"No Match"))</f>
        <v>Match</v>
      </c>
      <c r="CQ71" s="35" t="str">
        <f>IF(AND(CP71="Match",CK71&gt;0,CL71&gt;0),"Y","N")</f>
        <v>Y</v>
      </c>
      <c r="CS71" t="str">
        <f>IF($CQ71="Y",VLOOKUP($CM71,'SBA Size Standards'!$B$3:$G$57,MATCH('SBA Size Standards'!$G$3,'SBA Size Standards'!$B$3:$G$3,0),FALSE),"")</f>
        <v>Employment</v>
      </c>
      <c r="CT71" s="60" t="str">
        <f>IF(CQ71="Y",IF($CS71="Employment","N/A",VLOOKUP($CM71,'SBA Size Standards'!$B$3:$G$57,MATCH('SBA Size Standards'!$E$3,'SBA Size Standards'!$B$3:$G$3,0),FALSE)),"")</f>
        <v>N/A</v>
      </c>
      <c r="CU71" s="86">
        <f>IF($CQ71="Y",IF($CS71="Revenue","N/A",VLOOKUP($CM71,'SBA Size Standards'!$B$3:$G$57,MATCH('SBA Size Standards'!$F$3,'SBA Size Standards'!$B$3:$G$3,0),FALSE)),"")</f>
        <v>1250</v>
      </c>
      <c r="CV71" t="str">
        <f>IF($CQ71="Y",IF(OR(AND($CS71="Employment",$CL71&lt;$CU71),AND($CS71="Revenue",$CK71&lt;$CT71)),"YES","NO"),"")</f>
        <v>YES</v>
      </c>
      <c r="CW71" s="90" t="str">
        <f>IF($CQ71="Y",INDEX('SBA Size Standards'!$N$3:$N$12,MATCH($CK71,'SBA Size Standards'!$O$3:$O$12,1)),"")</f>
        <v>$100,000,001 - $1,000,000,000</v>
      </c>
      <c r="CX71" s="122" t="s">
        <v>4797</v>
      </c>
      <c r="CY71" s="122">
        <f>INDEX('NM O&amp;G Production'!$P$3:$P$537,MATCH(CX71,'NM O&amp;G Production'!$Q$3:$Q$537,0))</f>
        <v>524</v>
      </c>
      <c r="CZ71" s="122" t="str">
        <f>INDEX('NM O&amp;G Production'!$O$3:$O$537,MATCH(CY71,'NM O&amp;G Production'!$P$3:$P$537,0))</f>
        <v>Yes</v>
      </c>
      <c r="DA71" s="127">
        <f>INDEX('NM O&amp;G Production'!$K$3:$O$537,MATCH($CY71,'NM O&amp;G Production'!$P$3:$P$537,0),MATCH(DA$2,'NM O&amp;G Production'!$K$2:$O$2,0))</f>
        <v>1</v>
      </c>
      <c r="DB71" s="127">
        <f>INDEX('NM O&amp;G Production'!$K$3:$O$537,MATCH($CY71,'NM O&amp;G Production'!$P$3:$P$537,0),MATCH(DB$2,'NM O&amp;G Production'!$K$2:$O$2,0))</f>
        <v>2</v>
      </c>
      <c r="DC71" s="127">
        <f>DA71+DB71</f>
        <v>3</v>
      </c>
      <c r="DD71" s="127">
        <f>INDEX('NM O&amp;G Production'!$K$3:$O$537,MATCH($CY71,'NM O&amp;G Production'!$P$3:$P$537,0),MATCH(DD$2,'NM O&amp;G Production'!$K$2:$O$2,0))</f>
        <v>63433</v>
      </c>
      <c r="DE71" s="127">
        <f>INDEX('NM O&amp;G Production'!$K$3:$O$537,MATCH($CY71,'NM O&amp;G Production'!$P$3:$P$537,0),MATCH(DE$2,'NM O&amp;G Production'!$K$2:$O$2,0))</f>
        <v>18053</v>
      </c>
      <c r="DF71" s="258">
        <f>CK71/(DB71+DA71)</f>
        <v>178621660.66666666</v>
      </c>
      <c r="DG71" s="57">
        <f>DD71*(12/18)*1.06*'Oil and Gas Prices'!$C$18</f>
        <v>107134.10813333333</v>
      </c>
      <c r="DH71" s="284">
        <f>DE71*(12/18)*'Oil and Gas Prices'!$C$4</f>
        <v>541590</v>
      </c>
      <c r="DI71" s="284">
        <f>DG71+DH71</f>
        <v>648724.10813333327</v>
      </c>
      <c r="DJ71" s="57">
        <f>(DG71+DH71)/(DA71+DB71)</f>
        <v>216241.36937777777</v>
      </c>
      <c r="DK71" s="318"/>
    </row>
    <row r="72" spans="1:115" x14ac:dyDescent="0.25">
      <c r="A72" t="s">
        <v>1120</v>
      </c>
      <c r="B72" t="s">
        <v>1121</v>
      </c>
      <c r="D72" t="s">
        <v>112</v>
      </c>
      <c r="E72" t="s">
        <v>80</v>
      </c>
      <c r="F72">
        <v>77002</v>
      </c>
      <c r="G72" t="s">
        <v>62</v>
      </c>
      <c r="I72">
        <v>147</v>
      </c>
      <c r="J72" t="s">
        <v>63</v>
      </c>
      <c r="K72" t="s">
        <v>4133</v>
      </c>
      <c r="L72" t="s">
        <v>64</v>
      </c>
      <c r="M72">
        <v>10</v>
      </c>
      <c r="N72" t="s">
        <v>1122</v>
      </c>
      <c r="O72" t="s">
        <v>1123</v>
      </c>
      <c r="Q72" t="s">
        <v>1124</v>
      </c>
      <c r="R72" t="s">
        <v>112</v>
      </c>
      <c r="S72" t="s">
        <v>94</v>
      </c>
      <c r="T72" t="s">
        <v>1125</v>
      </c>
      <c r="U72" t="s">
        <v>62</v>
      </c>
      <c r="V72">
        <v>7136593500</v>
      </c>
      <c r="W72" s="1">
        <v>159004868</v>
      </c>
      <c r="X72">
        <v>20</v>
      </c>
      <c r="Y72">
        <v>125</v>
      </c>
      <c r="Z72">
        <v>1996</v>
      </c>
      <c r="AA72" t="s">
        <v>163</v>
      </c>
      <c r="AB72" t="s">
        <v>1126</v>
      </c>
      <c r="AC72" t="s">
        <v>145</v>
      </c>
      <c r="AD72" t="s">
        <v>119</v>
      </c>
      <c r="AE72">
        <v>1382</v>
      </c>
      <c r="AF72" t="s">
        <v>120</v>
      </c>
      <c r="AI72">
        <v>13820000</v>
      </c>
      <c r="AJ72" t="s">
        <v>119</v>
      </c>
      <c r="AM72">
        <v>213112</v>
      </c>
      <c r="AN72" t="s">
        <v>74</v>
      </c>
      <c r="AQ72" t="s">
        <v>168</v>
      </c>
      <c r="AR72" t="s">
        <v>1127</v>
      </c>
      <c r="AS72" t="s">
        <v>1128</v>
      </c>
      <c r="AT72" t="s">
        <v>76</v>
      </c>
      <c r="AU72" t="s">
        <v>80</v>
      </c>
      <c r="AV72" t="s">
        <v>62</v>
      </c>
      <c r="AW72" t="s">
        <v>1127</v>
      </c>
      <c r="AX72" t="s">
        <v>1128</v>
      </c>
      <c r="AY72" t="s">
        <v>80</v>
      </c>
      <c r="AZ72" t="s">
        <v>62</v>
      </c>
      <c r="BA72" t="s">
        <v>1127</v>
      </c>
      <c r="BC72" t="s">
        <v>1128</v>
      </c>
      <c r="BD72" t="s">
        <v>80</v>
      </c>
      <c r="BE72" t="s">
        <v>62</v>
      </c>
      <c r="BF72">
        <v>2</v>
      </c>
      <c r="BG72">
        <v>17</v>
      </c>
      <c r="BH72" s="4" t="s">
        <v>1127</v>
      </c>
      <c r="BI72" s="4" t="s">
        <v>1128</v>
      </c>
      <c r="BK72" s="4" t="s">
        <v>1124</v>
      </c>
      <c r="BL72" s="4" t="s">
        <v>112</v>
      </c>
      <c r="BM72" s="4" t="s">
        <v>94</v>
      </c>
      <c r="BN72" s="4" t="s">
        <v>1125</v>
      </c>
      <c r="BO72" s="4" t="s">
        <v>62</v>
      </c>
      <c r="BP72" s="4">
        <v>7136593500</v>
      </c>
      <c r="BQ72" s="5">
        <v>524283476</v>
      </c>
      <c r="BR72" s="4">
        <v>58</v>
      </c>
      <c r="BS72" s="6">
        <v>1100</v>
      </c>
      <c r="BT72" s="4">
        <v>1999</v>
      </c>
      <c r="BU72" s="4" t="s">
        <v>163</v>
      </c>
      <c r="BV72" s="4" t="s">
        <v>4171</v>
      </c>
      <c r="BW72" s="4" t="s">
        <v>133</v>
      </c>
      <c r="BX72" s="4" t="s">
        <v>99</v>
      </c>
      <c r="BY72" s="4">
        <v>1311</v>
      </c>
      <c r="BZ72" s="4" t="s">
        <v>100</v>
      </c>
      <c r="CA72" s="4">
        <v>1382</v>
      </c>
      <c r="CB72" s="4" t="s">
        <v>120</v>
      </c>
      <c r="CC72" s="4">
        <v>13110100</v>
      </c>
      <c r="CD72" s="4" t="s">
        <v>411</v>
      </c>
      <c r="CE72" s="4">
        <v>13820000</v>
      </c>
      <c r="CF72" s="4" t="s">
        <v>119</v>
      </c>
      <c r="CG72" s="4">
        <v>211120</v>
      </c>
      <c r="CH72" s="4" t="s">
        <v>104</v>
      </c>
      <c r="CI72" s="4">
        <v>213112</v>
      </c>
      <c r="CJ72" s="4" t="s">
        <v>74</v>
      </c>
      <c r="CK72" s="19">
        <f>IF(BQ72&gt;0,BQ72,W72)</f>
        <v>524283476</v>
      </c>
      <c r="CL72" s="20">
        <f>IF(BS72&gt;0,BS72,Y72)</f>
        <v>1100</v>
      </c>
      <c r="CM72" s="34">
        <f>IF(CG72&gt;0,CG72,AM72)</f>
        <v>211120</v>
      </c>
      <c r="CN72" s="80">
        <f>IF($BH72="",1,COUNTIF($BH$3:$BH72,$BH72))</f>
        <v>1</v>
      </c>
      <c r="CP72" t="str">
        <f>IF($K72="Standard Match","Match",IF($K72="Name Only Match",IF($CO72="Yes","Match","Name Only Match"),"No Match"))</f>
        <v>Match</v>
      </c>
      <c r="CQ72" s="35" t="str">
        <f>IF(AND(CP72="Match",CK72&gt;0,CL72&gt;0),"Y","N")</f>
        <v>Y</v>
      </c>
      <c r="CS72" t="str">
        <f>IF($CQ72="Y",VLOOKUP($CM72,'SBA Size Standards'!$B$3:$G$57,MATCH('SBA Size Standards'!$G$3,'SBA Size Standards'!$B$3:$G$3,0),FALSE),"")</f>
        <v>Employment</v>
      </c>
      <c r="CT72" s="60" t="str">
        <f>IF(CQ72="Y",IF($CS72="Employment","N/A",VLOOKUP($CM72,'SBA Size Standards'!$B$3:$G$57,MATCH('SBA Size Standards'!$E$3,'SBA Size Standards'!$B$3:$G$3,0),FALSE)),"")</f>
        <v>N/A</v>
      </c>
      <c r="CU72" s="86">
        <f>IF($CQ72="Y",IF($CS72="Revenue","N/A",VLOOKUP($CM72,'SBA Size Standards'!$B$3:$G$57,MATCH('SBA Size Standards'!$F$3,'SBA Size Standards'!$B$3:$G$3,0),FALSE)),"")</f>
        <v>1250</v>
      </c>
      <c r="CV72" t="str">
        <f>IF($CQ72="Y",IF(OR(AND($CS72="Employment",$CL72&lt;$CU72),AND($CS72="Revenue",$CK72&lt;$CT72)),"YES","NO"),"")</f>
        <v>YES</v>
      </c>
      <c r="CW72" s="90" t="str">
        <f>IF($CQ72="Y",INDEX('SBA Size Standards'!$N$3:$N$12,MATCH($CK72,'SBA Size Standards'!$O$3:$O$12,1)),"")</f>
        <v>$100,000,001 - $1,000,000,000</v>
      </c>
      <c r="CX72" s="122" t="s">
        <v>4602</v>
      </c>
      <c r="CY72" s="122">
        <f>INDEX('NM O&amp;G Production'!$P$3:$P$537,MATCH(CX72,'NM O&amp;G Production'!$Q$3:$Q$537,0))</f>
        <v>147</v>
      </c>
      <c r="CZ72" s="122" t="str">
        <f>INDEX('NM O&amp;G Production'!$O$3:$O$537,MATCH(CY72,'NM O&amp;G Production'!$P$3:$P$537,0))</f>
        <v>Yes</v>
      </c>
      <c r="DA72" s="127">
        <f>INDEX('NM O&amp;G Production'!$K$3:$O$537,MATCH($CY72,'NM O&amp;G Production'!$P$3:$P$537,0),MATCH(DA$2,'NM O&amp;G Production'!$K$2:$O$2,0))</f>
        <v>151</v>
      </c>
      <c r="DB72" s="127">
        <f>INDEX('NM O&amp;G Production'!$K$3:$O$537,MATCH($CY72,'NM O&amp;G Production'!$P$3:$P$537,0),MATCH(DB$2,'NM O&amp;G Production'!$K$2:$O$2,0))</f>
        <v>222</v>
      </c>
      <c r="DC72" s="127">
        <f>DA72+DB72</f>
        <v>373</v>
      </c>
      <c r="DD72" s="127">
        <f>INDEX('NM O&amp;G Production'!$K$3:$O$537,MATCH($CY72,'NM O&amp;G Production'!$P$3:$P$537,0),MATCH(DD$2,'NM O&amp;G Production'!$K$2:$O$2,0))</f>
        <v>8500082</v>
      </c>
      <c r="DE72" s="127">
        <f>INDEX('NM O&amp;G Production'!$K$3:$O$537,MATCH($CY72,'NM O&amp;G Production'!$P$3:$P$537,0),MATCH(DE$2,'NM O&amp;G Production'!$K$2:$O$2,0))</f>
        <v>103371</v>
      </c>
      <c r="DF72" s="258">
        <f>CK72/(DB72+DA72)</f>
        <v>1405585.726541555</v>
      </c>
      <c r="DG72" s="57">
        <f>DD72*(12/18)*1.06*'Oil and Gas Prices'!$C$18</f>
        <v>14356071.825866668</v>
      </c>
      <c r="DH72" s="284">
        <f>DE72*(12/18)*'Oil and Gas Prices'!$C$4</f>
        <v>3101130</v>
      </c>
      <c r="DI72" s="284">
        <f>DG72+DH72</f>
        <v>17457201.825866669</v>
      </c>
      <c r="DJ72" s="57">
        <f>(DG72+DH72)/(DA72+DB72)</f>
        <v>46802.149667202866</v>
      </c>
      <c r="DK72" s="318"/>
    </row>
    <row r="73" spans="1:115" x14ac:dyDescent="0.25">
      <c r="A73" s="231" t="s">
        <v>2156</v>
      </c>
      <c r="B73" s="231" t="s">
        <v>2157</v>
      </c>
      <c r="C73" s="231"/>
      <c r="D73" s="231" t="s">
        <v>206</v>
      </c>
      <c r="E73" s="231" t="s">
        <v>84</v>
      </c>
      <c r="F73" s="231">
        <v>88241</v>
      </c>
      <c r="G73" s="231" t="s">
        <v>62</v>
      </c>
      <c r="I73">
        <v>305</v>
      </c>
      <c r="J73" s="231" t="s">
        <v>63</v>
      </c>
      <c r="K73" s="231" t="s">
        <v>4133</v>
      </c>
      <c r="L73" s="231" t="s">
        <v>149</v>
      </c>
      <c r="M73" s="231">
        <v>10</v>
      </c>
      <c r="N73" s="231" t="s">
        <v>2158</v>
      </c>
      <c r="O73" s="231" t="s">
        <v>2156</v>
      </c>
      <c r="P73" s="231"/>
      <c r="Q73" s="231" t="s">
        <v>2159</v>
      </c>
      <c r="R73" s="231" t="s">
        <v>206</v>
      </c>
      <c r="S73" s="231" t="s">
        <v>214</v>
      </c>
      <c r="T73" s="231" t="s">
        <v>2160</v>
      </c>
      <c r="U73" s="231" t="s">
        <v>62</v>
      </c>
      <c r="V73">
        <v>5753935905</v>
      </c>
      <c r="W73" s="231"/>
      <c r="X73" s="231">
        <v>100</v>
      </c>
      <c r="Y73" s="231">
        <v>0</v>
      </c>
      <c r="Z73" s="231"/>
      <c r="AA73" s="231" t="s">
        <v>96</v>
      </c>
      <c r="AB73" t="s">
        <v>2161</v>
      </c>
      <c r="AC73" t="s">
        <v>677</v>
      </c>
      <c r="AD73" t="s">
        <v>517</v>
      </c>
      <c r="AE73">
        <v>1381</v>
      </c>
      <c r="AF73" t="s">
        <v>518</v>
      </c>
      <c r="AG73">
        <v>1311</v>
      </c>
      <c r="AH73" t="s">
        <v>100</v>
      </c>
      <c r="AI73">
        <v>13810000</v>
      </c>
      <c r="AJ73" t="s">
        <v>519</v>
      </c>
      <c r="AK73">
        <v>13110100</v>
      </c>
      <c r="AL73" t="s">
        <v>411</v>
      </c>
      <c r="AM73" s="231">
        <v>213111</v>
      </c>
      <c r="AN73" s="231" t="s">
        <v>518</v>
      </c>
      <c r="AO73" s="231">
        <v>211120</v>
      </c>
      <c r="AP73" s="231" t="s">
        <v>104</v>
      </c>
      <c r="AQ73" s="231" t="s">
        <v>75</v>
      </c>
      <c r="AR73" t="s">
        <v>2162</v>
      </c>
      <c r="AS73" t="s">
        <v>2163</v>
      </c>
      <c r="AT73" t="s">
        <v>76</v>
      </c>
      <c r="AU73" t="s">
        <v>80</v>
      </c>
      <c r="AV73" t="s">
        <v>62</v>
      </c>
      <c r="AW73" t="s">
        <v>2162</v>
      </c>
      <c r="AX73" t="s">
        <v>2163</v>
      </c>
      <c r="AY73" t="s">
        <v>80</v>
      </c>
      <c r="AZ73" t="s">
        <v>62</v>
      </c>
      <c r="BB73" t="s">
        <v>2164</v>
      </c>
      <c r="BC73" t="s">
        <v>2156</v>
      </c>
      <c r="BD73" t="s">
        <v>80</v>
      </c>
      <c r="BE73" t="s">
        <v>62</v>
      </c>
      <c r="BF73">
        <v>2</v>
      </c>
      <c r="BG73">
        <v>13</v>
      </c>
      <c r="BH73" s="231" t="s">
        <v>2162</v>
      </c>
      <c r="BI73" s="231" t="s">
        <v>2163</v>
      </c>
      <c r="BJ73" s="231"/>
      <c r="BK73" s="231" t="s">
        <v>4190</v>
      </c>
      <c r="BL73" s="231" t="s">
        <v>1257</v>
      </c>
      <c r="BM73" s="231" t="s">
        <v>94</v>
      </c>
      <c r="BN73" s="231" t="s">
        <v>4191</v>
      </c>
      <c r="BO73" s="231" t="s">
        <v>62</v>
      </c>
      <c r="BP73" s="4">
        <v>9035612900</v>
      </c>
      <c r="BQ73" s="232">
        <v>503996074</v>
      </c>
      <c r="BR73" s="231">
        <v>40</v>
      </c>
      <c r="BS73" s="231">
        <v>176</v>
      </c>
      <c r="BT73" s="4">
        <v>1965</v>
      </c>
      <c r="BU73" s="4" t="s">
        <v>163</v>
      </c>
      <c r="BV73" s="4" t="s">
        <v>4192</v>
      </c>
      <c r="BW73" s="4" t="s">
        <v>133</v>
      </c>
      <c r="BX73" s="4" t="s">
        <v>99</v>
      </c>
      <c r="BY73" s="4">
        <v>1311</v>
      </c>
      <c r="BZ73" s="4" t="s">
        <v>100</v>
      </c>
      <c r="CC73" s="4">
        <v>13110101</v>
      </c>
      <c r="CD73" s="4" t="s">
        <v>102</v>
      </c>
      <c r="CG73" s="231">
        <v>211120</v>
      </c>
      <c r="CH73" s="231" t="s">
        <v>104</v>
      </c>
      <c r="CI73" s="231"/>
      <c r="CJ73" s="231"/>
      <c r="CK73" s="233">
        <f>IF(BQ73&gt;0,BQ73,W73)</f>
        <v>503996074</v>
      </c>
      <c r="CL73" s="234">
        <f>IF(BS73&gt;0,BS73,Y73)</f>
        <v>176</v>
      </c>
      <c r="CM73" s="235">
        <f>IF(CG73&gt;0,CG73,AM73)</f>
        <v>211120</v>
      </c>
      <c r="CN73" s="236">
        <f>IF($BH73="",1,COUNTIF($BH$3:$BH73,$BH73))</f>
        <v>1</v>
      </c>
      <c r="CO73" s="231"/>
      <c r="CP73" s="231" t="str">
        <f>IF($K73="Standard Match","Match",IF($K73="Name Only Match",IF($CO73="Yes","Match","Name Only Match"),"No Match"))</f>
        <v>Match</v>
      </c>
      <c r="CQ73" s="237" t="str">
        <f>IF(AND(CP73="Match",CK73&gt;0,CL73&gt;0),"Y","N")</f>
        <v>Y</v>
      </c>
      <c r="CR73" s="231"/>
      <c r="CS73" s="231" t="str">
        <f>IF($CQ73="Y",VLOOKUP($CM73,'SBA Size Standards'!$B$3:$G$57,MATCH('SBA Size Standards'!$G$3,'SBA Size Standards'!$B$3:$G$3,0),FALSE),"")</f>
        <v>Employment</v>
      </c>
      <c r="CT73" s="238" t="str">
        <f>IF(CQ73="Y",IF($CS73="Employment","N/A",VLOOKUP($CM73,'SBA Size Standards'!$B$3:$G$57,MATCH('SBA Size Standards'!$E$3,'SBA Size Standards'!$B$3:$G$3,0),FALSE)),"")</f>
        <v>N/A</v>
      </c>
      <c r="CU73" s="239">
        <f>IF($CQ73="Y",IF($CS73="Revenue","N/A",VLOOKUP($CM73,'SBA Size Standards'!$B$3:$G$57,MATCH('SBA Size Standards'!$F$3,'SBA Size Standards'!$B$3:$G$3,0),FALSE)),"")</f>
        <v>1250</v>
      </c>
      <c r="CV73" s="231" t="str">
        <f>IF($CQ73="Y",IF(OR(AND($CS73="Employment",$CL73&lt;$CU73),AND($CS73="Revenue",$CK73&lt;$CT73)),"YES","NO"),"")</f>
        <v>YES</v>
      </c>
      <c r="CW73" s="235" t="str">
        <f>IF($CQ73="Y",INDEX('SBA Size Standards'!$N$3:$N$12,MATCH($CK73,'SBA Size Standards'!$O$3:$O$12,1)),"")</f>
        <v>$100,000,001 - $1,000,000,000</v>
      </c>
      <c r="CX73" s="235" t="s">
        <v>5058</v>
      </c>
      <c r="CY73" s="235">
        <f>INDEX('NM O&amp;G Production'!$P$3:$P$537,MATCH(CX73,'NM O&amp;G Production'!$Q$3:$Q$537,0))</f>
        <v>305</v>
      </c>
      <c r="CZ73" s="235" t="str">
        <f>INDEX('NM O&amp;G Production'!$O$3:$O$537,MATCH(CY73,'NM O&amp;G Production'!$P$3:$P$537,0))</f>
        <v>Yes</v>
      </c>
      <c r="DA73" s="240">
        <f>INDEX('NM O&amp;G Production'!$K$3:$O$537,MATCH($CY73,'NM O&amp;G Production'!$P$3:$P$537,0),MATCH(DA$2,'NM O&amp;G Production'!$K$2:$O$2,0))</f>
        <v>581</v>
      </c>
      <c r="DB73" s="240">
        <f>INDEX('NM O&amp;G Production'!$K$3:$O$537,MATCH($CY73,'NM O&amp;G Production'!$P$3:$P$537,0),MATCH(DB$2,'NM O&amp;G Production'!$K$2:$O$2,0))</f>
        <v>418</v>
      </c>
      <c r="DC73" s="127">
        <f>DA73+DB73</f>
        <v>999</v>
      </c>
      <c r="DD73" s="240">
        <f>INDEX('NM O&amp;G Production'!$K$3:$O$537,MATCH($CY73,'NM O&amp;G Production'!$P$3:$P$537,0),MATCH(DD$2,'NM O&amp;G Production'!$K$2:$O$2,0))</f>
        <v>123793892</v>
      </c>
      <c r="DE73" s="240">
        <f>INDEX('NM O&amp;G Production'!$K$3:$O$537,MATCH($CY73,'NM O&amp;G Production'!$P$3:$P$537,0),MATCH(DE$2,'NM O&amp;G Production'!$K$2:$O$2,0))</f>
        <v>33277069</v>
      </c>
      <c r="DF73" s="258">
        <f>CK73/(DB73+DA73)</f>
        <v>504500.5745745746</v>
      </c>
      <c r="DG73" s="57">
        <f>DD73*(12/18)*1.06*'Oil and Gas Prices'!$C$18</f>
        <v>209079630.66186669</v>
      </c>
      <c r="DH73" s="284">
        <f>DE73*(12/18)*'Oil and Gas Prices'!$C$4</f>
        <v>998312069.99999988</v>
      </c>
      <c r="DI73" s="284">
        <f>DG73+DH73</f>
        <v>1207391700.6618667</v>
      </c>
      <c r="DJ73" s="57">
        <f>(DG73+DH73)/(DA73+DB73)</f>
        <v>1208600.3009628295</v>
      </c>
      <c r="DK73" s="319"/>
    </row>
    <row r="74" spans="1:115" x14ac:dyDescent="0.25">
      <c r="A74" t="s">
        <v>1036</v>
      </c>
      <c r="B74" t="s">
        <v>1037</v>
      </c>
      <c r="D74" t="s">
        <v>60</v>
      </c>
      <c r="E74" t="s">
        <v>61</v>
      </c>
      <c r="F74">
        <v>80202</v>
      </c>
      <c r="G74" t="s">
        <v>62</v>
      </c>
      <c r="I74">
        <v>137</v>
      </c>
      <c r="J74" t="s">
        <v>404</v>
      </c>
      <c r="K74" t="s">
        <v>4133</v>
      </c>
      <c r="L74" t="s">
        <v>1038</v>
      </c>
      <c r="M74">
        <v>9</v>
      </c>
      <c r="N74" t="s">
        <v>1039</v>
      </c>
      <c r="O74" t="s">
        <v>1040</v>
      </c>
      <c r="P74" t="s">
        <v>1041</v>
      </c>
      <c r="Q74" t="s">
        <v>1042</v>
      </c>
      <c r="R74" t="s">
        <v>60</v>
      </c>
      <c r="S74" t="s">
        <v>68</v>
      </c>
      <c r="T74" t="s">
        <v>1043</v>
      </c>
      <c r="U74" t="s">
        <v>62</v>
      </c>
      <c r="V74">
        <v>3032605200</v>
      </c>
      <c r="W74" s="1">
        <v>464500000</v>
      </c>
      <c r="X74">
        <v>8</v>
      </c>
      <c r="Y74">
        <v>8</v>
      </c>
      <c r="AA74" t="s">
        <v>70</v>
      </c>
      <c r="AB74" t="s">
        <v>1044</v>
      </c>
      <c r="AC74" t="s">
        <v>133</v>
      </c>
      <c r="AD74" t="s">
        <v>167</v>
      </c>
      <c r="AE74">
        <v>4924</v>
      </c>
      <c r="AF74" t="s">
        <v>166</v>
      </c>
      <c r="AI74">
        <v>49240000</v>
      </c>
      <c r="AJ74" t="s">
        <v>167</v>
      </c>
      <c r="AM74">
        <v>221210</v>
      </c>
      <c r="AN74" t="s">
        <v>166</v>
      </c>
      <c r="AQ74" t="s">
        <v>75</v>
      </c>
      <c r="AT74" t="s">
        <v>76</v>
      </c>
      <c r="BF74">
        <v>0</v>
      </c>
      <c r="BG74">
        <v>0</v>
      </c>
      <c r="CK74" s="19">
        <f>IF(BQ74&gt;0,BQ74,W74)</f>
        <v>464500000</v>
      </c>
      <c r="CL74" s="20">
        <f>IF(BS74&gt;0,BS74,Y74)</f>
        <v>8</v>
      </c>
      <c r="CM74" s="34">
        <f>IF(CG74&gt;0,CG74,AM74)</f>
        <v>221210</v>
      </c>
      <c r="CN74" s="80">
        <f>IF($BH74="",1,COUNTIF($BH$3:$BH74,$BH74))</f>
        <v>1</v>
      </c>
      <c r="CP74" t="str">
        <f>IF($K74="Standard Match","Match",IF($K74="Name Only Match",IF($CO74="Yes","Match","Name Only Match"),"No Match"))</f>
        <v>Match</v>
      </c>
      <c r="CQ74" s="35" t="str">
        <f>IF(AND(CP74="Match",CK74&gt;0,CL74&gt;0),"Y","N")</f>
        <v>Y</v>
      </c>
      <c r="CS74" t="str">
        <f>IF($CQ74="Y",VLOOKUP($CM74,'SBA Size Standards'!$B$3:$G$57,MATCH('SBA Size Standards'!$G$3,'SBA Size Standards'!$B$3:$G$3,0),FALSE),"")</f>
        <v>Employment</v>
      </c>
      <c r="CT74" s="60" t="str">
        <f>IF(CQ74="Y",IF($CS74="Employment","N/A",VLOOKUP($CM74,'SBA Size Standards'!$B$3:$G$57,MATCH('SBA Size Standards'!$E$3,'SBA Size Standards'!$B$3:$G$3,0),FALSE)),"")</f>
        <v>N/A</v>
      </c>
      <c r="CU74" s="86">
        <f>IF($CQ74="Y",IF($CS74="Revenue","N/A",VLOOKUP($CM74,'SBA Size Standards'!$B$3:$G$57,MATCH('SBA Size Standards'!$F$3,'SBA Size Standards'!$B$3:$G$3,0),FALSE)),"")</f>
        <v>1000</v>
      </c>
      <c r="CV74" t="str">
        <f>IF($CQ74="Y",IF(OR(AND($CS74="Employment",$CL74&lt;$CU74),AND($CS74="Revenue",$CK74&lt;$CT74)),"YES","NO"),"")</f>
        <v>YES</v>
      </c>
      <c r="CW74" s="90" t="str">
        <f>IF($CQ74="Y",INDEX('SBA Size Standards'!$N$3:$N$12,MATCH($CK74,'SBA Size Standards'!$O$3:$O$12,1)),"")</f>
        <v>$100,000,001 - $1,000,000,000</v>
      </c>
      <c r="CX74" s="122" t="s">
        <v>4790</v>
      </c>
      <c r="CY74" s="122">
        <f>INDEX('NM O&amp;G Production'!$P$3:$P$537,MATCH(CX74,'NM O&amp;G Production'!$Q$3:$Q$537,0))</f>
        <v>137</v>
      </c>
      <c r="CZ74" s="122" t="str">
        <f>INDEX('NM O&amp;G Production'!$O$3:$O$537,MATCH(CY74,'NM O&amp;G Production'!$P$3:$P$537,0))</f>
        <v>No</v>
      </c>
      <c r="DA74" s="127">
        <f>INDEX('NM O&amp;G Production'!$K$3:$O$537,MATCH($CY74,'NM O&amp;G Production'!$P$3:$P$537,0),MATCH(DA$2,'NM O&amp;G Production'!$K$2:$O$2,0))</f>
        <v>0</v>
      </c>
      <c r="DB74" s="127">
        <f>INDEX('NM O&amp;G Production'!$K$3:$O$537,MATCH($CY74,'NM O&amp;G Production'!$P$3:$P$537,0),MATCH(DB$2,'NM O&amp;G Production'!$K$2:$O$2,0))</f>
        <v>0</v>
      </c>
      <c r="DC74" s="127"/>
      <c r="DD74" s="127">
        <f>INDEX('NM O&amp;G Production'!$K$3:$O$537,MATCH($CY74,'NM O&amp;G Production'!$P$3:$P$537,0),MATCH(DD$2,'NM O&amp;G Production'!$K$2:$O$2,0))</f>
        <v>0</v>
      </c>
      <c r="DE74" s="127">
        <f>INDEX('NM O&amp;G Production'!$K$3:$O$537,MATCH($CY74,'NM O&amp;G Production'!$P$3:$P$537,0),MATCH(DE$2,'NM O&amp;G Production'!$K$2:$O$2,0))</f>
        <v>0</v>
      </c>
      <c r="DF74" s="258" t="e">
        <f>CK74/(DB74+DA74)</f>
        <v>#DIV/0!</v>
      </c>
      <c r="DG74" s="57">
        <f>DD74*(12/18)*1.06*'Oil and Gas Prices'!$C$18</f>
        <v>0</v>
      </c>
      <c r="DH74" s="284">
        <f>DE74*(12/18)*'Oil and Gas Prices'!$C$4</f>
        <v>0</v>
      </c>
      <c r="DI74" s="284"/>
      <c r="DJ74" s="57" t="e">
        <f>(DG74+DH74)/(DA74+DB74)</f>
        <v>#DIV/0!</v>
      </c>
      <c r="DK74" s="18" t="e">
        <f>CK74/DI74</f>
        <v>#DIV/0!</v>
      </c>
    </row>
    <row r="75" spans="1:115" x14ac:dyDescent="0.25">
      <c r="A75" t="s">
        <v>1432</v>
      </c>
      <c r="B75" t="s">
        <v>1433</v>
      </c>
      <c r="D75" t="s">
        <v>112</v>
      </c>
      <c r="E75" t="s">
        <v>80</v>
      </c>
      <c r="F75">
        <v>77057</v>
      </c>
      <c r="G75" t="s">
        <v>62</v>
      </c>
      <c r="I75">
        <v>192</v>
      </c>
      <c r="J75" t="s">
        <v>63</v>
      </c>
      <c r="K75" t="s">
        <v>4133</v>
      </c>
      <c r="L75" t="s">
        <v>64</v>
      </c>
      <c r="M75">
        <v>10</v>
      </c>
      <c r="N75" t="s">
        <v>1434</v>
      </c>
      <c r="O75" t="s">
        <v>1435</v>
      </c>
      <c r="Q75" t="s">
        <v>1436</v>
      </c>
      <c r="R75" t="s">
        <v>112</v>
      </c>
      <c r="S75" t="s">
        <v>94</v>
      </c>
      <c r="T75" t="s">
        <v>1437</v>
      </c>
      <c r="U75" t="s">
        <v>62</v>
      </c>
      <c r="W75" s="1">
        <v>95917835</v>
      </c>
      <c r="X75">
        <v>23</v>
      </c>
      <c r="Y75">
        <v>120</v>
      </c>
      <c r="Z75">
        <v>2013</v>
      </c>
      <c r="AA75" t="s">
        <v>163</v>
      </c>
      <c r="AD75" t="s">
        <v>71</v>
      </c>
      <c r="AE75">
        <v>1389</v>
      </c>
      <c r="AF75" t="s">
        <v>72</v>
      </c>
      <c r="AI75">
        <v>13899905</v>
      </c>
      <c r="AJ75" t="s">
        <v>529</v>
      </c>
      <c r="AM75">
        <v>213112</v>
      </c>
      <c r="AN75" t="s">
        <v>74</v>
      </c>
      <c r="AQ75" t="s">
        <v>168</v>
      </c>
      <c r="AR75" t="s">
        <v>1438</v>
      </c>
      <c r="AS75" t="s">
        <v>1439</v>
      </c>
      <c r="AT75" t="s">
        <v>76</v>
      </c>
      <c r="AU75" t="s">
        <v>80</v>
      </c>
      <c r="AV75" t="s">
        <v>62</v>
      </c>
      <c r="AW75" t="s">
        <v>1438</v>
      </c>
      <c r="AX75" t="s">
        <v>1439</v>
      </c>
      <c r="AY75" t="s">
        <v>80</v>
      </c>
      <c r="AZ75" t="s">
        <v>62</v>
      </c>
      <c r="BA75" t="s">
        <v>1438</v>
      </c>
      <c r="BC75" t="s">
        <v>1439</v>
      </c>
      <c r="BD75" t="s">
        <v>80</v>
      </c>
      <c r="BE75" t="s">
        <v>62</v>
      </c>
      <c r="BF75">
        <v>2</v>
      </c>
      <c r="BG75">
        <v>58</v>
      </c>
      <c r="BH75" s="4" t="s">
        <v>1438</v>
      </c>
      <c r="BI75" s="4" t="s">
        <v>1439</v>
      </c>
      <c r="BK75" s="4" t="s">
        <v>1436</v>
      </c>
      <c r="BL75" s="4" t="s">
        <v>112</v>
      </c>
      <c r="BM75" s="4" t="s">
        <v>94</v>
      </c>
      <c r="BN75" s="4" t="s">
        <v>1437</v>
      </c>
      <c r="BO75" s="4" t="s">
        <v>62</v>
      </c>
      <c r="BP75" s="4">
        <v>8323272255</v>
      </c>
      <c r="BQ75" s="5">
        <v>460287000</v>
      </c>
      <c r="BR75" s="4">
        <v>23</v>
      </c>
      <c r="BS75" s="4">
        <v>357</v>
      </c>
      <c r="BT75" s="4">
        <v>2006</v>
      </c>
      <c r="BU75" s="4" t="s">
        <v>163</v>
      </c>
      <c r="BV75" s="4" t="s">
        <v>4172</v>
      </c>
      <c r="BW75" s="4" t="s">
        <v>133</v>
      </c>
      <c r="BX75" s="4" t="s">
        <v>119</v>
      </c>
      <c r="BY75" s="4">
        <v>1382</v>
      </c>
      <c r="BZ75" s="4" t="s">
        <v>120</v>
      </c>
      <c r="CA75" s="4">
        <v>1311</v>
      </c>
      <c r="CB75" s="4" t="s">
        <v>100</v>
      </c>
      <c r="CC75" s="4">
        <v>13820000</v>
      </c>
      <c r="CD75" s="4" t="s">
        <v>119</v>
      </c>
      <c r="CE75" s="4">
        <v>13110101</v>
      </c>
      <c r="CF75" s="4" t="s">
        <v>102</v>
      </c>
      <c r="CG75" s="4">
        <v>213112</v>
      </c>
      <c r="CH75" s="4" t="s">
        <v>74</v>
      </c>
      <c r="CI75" s="4">
        <v>211120</v>
      </c>
      <c r="CJ75" s="4" t="s">
        <v>104</v>
      </c>
      <c r="CK75" s="19">
        <f>IF(BQ75&gt;0,BQ75,W75)</f>
        <v>460287000</v>
      </c>
      <c r="CL75" s="20">
        <f>IF(BS75&gt;0,BS75,Y75)</f>
        <v>357</v>
      </c>
      <c r="CM75" s="34">
        <f>IF(CG75&gt;0,CG75,AM75)</f>
        <v>213112</v>
      </c>
      <c r="CN75" s="80">
        <f>IF($BH75="",1,COUNTIF($BH$3:$BH75,$BH75))</f>
        <v>1</v>
      </c>
      <c r="CP75" t="str">
        <f>IF($K75="Standard Match","Match",IF($K75="Name Only Match",IF($CO75="Yes","Match","Name Only Match"),"No Match"))</f>
        <v>Match</v>
      </c>
      <c r="CQ75" s="35" t="str">
        <f>IF(AND(CP75="Match",CK75&gt;0,CL75&gt;0),"Y","N")</f>
        <v>Y</v>
      </c>
      <c r="CS75" t="str">
        <f>IF($CQ75="Y",VLOOKUP($CM75,'SBA Size Standards'!$B$3:$G$57,MATCH('SBA Size Standards'!$G$3,'SBA Size Standards'!$B$3:$G$3,0),FALSE),"")</f>
        <v>Revenue</v>
      </c>
      <c r="CT75" s="60">
        <f>IF(CQ75="Y",IF($CS75="Employment","N/A",VLOOKUP($CM75,'SBA Size Standards'!$B$3:$G$57,MATCH('SBA Size Standards'!$E$3,'SBA Size Standards'!$B$3:$G$3,0),FALSE)),"")</f>
        <v>41500000</v>
      </c>
      <c r="CU75" s="86" t="str">
        <f>IF($CQ75="Y",IF($CS75="Revenue","N/A",VLOOKUP($CM75,'SBA Size Standards'!$B$3:$G$57,MATCH('SBA Size Standards'!$F$3,'SBA Size Standards'!$B$3:$G$3,0),FALSE)),"")</f>
        <v>N/A</v>
      </c>
      <c r="CV75" t="str">
        <f>IF($CQ75="Y",IF(OR(AND($CS75="Employment",$CL75&lt;$CU75),AND($CS75="Revenue",$CK75&lt;$CT75)),"YES","NO"),"")</f>
        <v>NO</v>
      </c>
      <c r="CW75" s="90" t="str">
        <f>IF($CQ75="Y",INDEX('SBA Size Standards'!$N$3:$N$12,MATCH($CK75,'SBA Size Standards'!$O$3:$O$12,1)),"")</f>
        <v>$100,000,001 - $1,000,000,000</v>
      </c>
      <c r="CX75" s="122" t="s">
        <v>4621</v>
      </c>
      <c r="CY75" s="122">
        <f>INDEX('NM O&amp;G Production'!$P$3:$P$537,MATCH(CX75,'NM O&amp;G Production'!$Q$3:$Q$537,0))</f>
        <v>192</v>
      </c>
      <c r="CZ75" s="122" t="str">
        <f>INDEX('NM O&amp;G Production'!$O$3:$O$537,MATCH(CY75,'NM O&amp;G Production'!$P$3:$P$537,0))</f>
        <v>Yes</v>
      </c>
      <c r="DA75" s="127">
        <f>INDEX('NM O&amp;G Production'!$K$3:$O$537,MATCH($CY75,'NM O&amp;G Production'!$P$3:$P$537,0),MATCH(DA$2,'NM O&amp;G Production'!$K$2:$O$2,0))</f>
        <v>77</v>
      </c>
      <c r="DB75" s="127">
        <f>INDEX('NM O&amp;G Production'!$K$3:$O$537,MATCH($CY75,'NM O&amp;G Production'!$P$3:$P$537,0),MATCH(DB$2,'NM O&amp;G Production'!$K$2:$O$2,0))</f>
        <v>712</v>
      </c>
      <c r="DC75" s="127">
        <f>DA75+DB75</f>
        <v>789</v>
      </c>
      <c r="DD75" s="127">
        <f>INDEX('NM O&amp;G Production'!$K$3:$O$537,MATCH($CY75,'NM O&amp;G Production'!$P$3:$P$537,0),MATCH(DD$2,'NM O&amp;G Production'!$K$2:$O$2,0))</f>
        <v>8655523</v>
      </c>
      <c r="DE75" s="127">
        <f>INDEX('NM O&amp;G Production'!$K$3:$O$537,MATCH($CY75,'NM O&amp;G Production'!$P$3:$P$537,0),MATCH(DE$2,'NM O&amp;G Production'!$K$2:$O$2,0))</f>
        <v>1008312</v>
      </c>
      <c r="DF75" s="258">
        <f>CK75/(DB75+DA75)</f>
        <v>583380.22813688219</v>
      </c>
      <c r="DG75" s="57">
        <f>DD75*(12/18)*1.06*'Oil and Gas Prices'!$C$18</f>
        <v>14618601.312133333</v>
      </c>
      <c r="DH75" s="284">
        <f>DE75*(12/18)*'Oil and Gas Prices'!$C$4</f>
        <v>30249360</v>
      </c>
      <c r="DI75" s="284">
        <f>DG75+DH75</f>
        <v>44867961.312133335</v>
      </c>
      <c r="DJ75" s="57">
        <f>(DG75+DH75)/(DA75+DB75)</f>
        <v>56866.871118039715</v>
      </c>
      <c r="DK75" s="319"/>
    </row>
    <row r="76" spans="1:115" x14ac:dyDescent="0.25">
      <c r="A76" t="s">
        <v>3128</v>
      </c>
      <c r="B76" t="s">
        <v>3129</v>
      </c>
      <c r="D76" t="s">
        <v>60</v>
      </c>
      <c r="E76" t="s">
        <v>61</v>
      </c>
      <c r="F76">
        <v>80202</v>
      </c>
      <c r="G76" t="s">
        <v>62</v>
      </c>
      <c r="I76">
        <v>459</v>
      </c>
      <c r="J76" t="s">
        <v>63</v>
      </c>
      <c r="K76" t="s">
        <v>4133</v>
      </c>
      <c r="L76" t="s">
        <v>113</v>
      </c>
      <c r="M76">
        <v>8</v>
      </c>
      <c r="N76" t="s">
        <v>3130</v>
      </c>
      <c r="O76" t="s">
        <v>3131</v>
      </c>
      <c r="Q76" t="s">
        <v>3132</v>
      </c>
      <c r="R76" t="s">
        <v>60</v>
      </c>
      <c r="S76" t="s">
        <v>68</v>
      </c>
      <c r="T76" t="s">
        <v>3133</v>
      </c>
      <c r="U76" t="s">
        <v>62</v>
      </c>
      <c r="V76">
        <v>7705045004</v>
      </c>
      <c r="W76" s="1">
        <v>4000000</v>
      </c>
      <c r="X76">
        <v>37</v>
      </c>
      <c r="Y76">
        <v>37</v>
      </c>
      <c r="Z76">
        <v>2014</v>
      </c>
      <c r="AA76" t="s">
        <v>70</v>
      </c>
      <c r="AB76" t="s">
        <v>3134</v>
      </c>
      <c r="AC76" t="s">
        <v>98</v>
      </c>
      <c r="AD76" t="s">
        <v>167</v>
      </c>
      <c r="AE76">
        <v>4924</v>
      </c>
      <c r="AF76" t="s">
        <v>166</v>
      </c>
      <c r="AI76">
        <v>49240000</v>
      </c>
      <c r="AJ76" t="s">
        <v>167</v>
      </c>
      <c r="AM76">
        <v>221210</v>
      </c>
      <c r="AN76" t="s">
        <v>166</v>
      </c>
      <c r="AQ76" t="s">
        <v>168</v>
      </c>
      <c r="AR76" t="s">
        <v>3135</v>
      </c>
      <c r="AS76" t="s">
        <v>3136</v>
      </c>
      <c r="AT76" t="s">
        <v>76</v>
      </c>
      <c r="AU76" t="s">
        <v>80</v>
      </c>
      <c r="AV76" t="s">
        <v>62</v>
      </c>
      <c r="AW76" t="s">
        <v>3135</v>
      </c>
      <c r="AX76" t="s">
        <v>3136</v>
      </c>
      <c r="AY76" t="s">
        <v>80</v>
      </c>
      <c r="AZ76" t="s">
        <v>62</v>
      </c>
      <c r="BA76" t="s">
        <v>3135</v>
      </c>
      <c r="BC76" t="s">
        <v>3136</v>
      </c>
      <c r="BD76" t="s">
        <v>80</v>
      </c>
      <c r="BE76" t="s">
        <v>62</v>
      </c>
      <c r="BF76">
        <v>2</v>
      </c>
      <c r="BG76">
        <v>35</v>
      </c>
      <c r="BH76" s="4" t="s">
        <v>3135</v>
      </c>
      <c r="BI76" s="4" t="s">
        <v>3136</v>
      </c>
      <c r="BK76" s="4" t="s">
        <v>3144</v>
      </c>
      <c r="BL76" s="4" t="s">
        <v>112</v>
      </c>
      <c r="BM76" s="4" t="s">
        <v>94</v>
      </c>
      <c r="BN76" s="4" t="s">
        <v>3145</v>
      </c>
      <c r="BO76" s="4" t="s">
        <v>62</v>
      </c>
      <c r="BP76" s="4">
        <v>8324134770</v>
      </c>
      <c r="BQ76" s="5">
        <v>443528000</v>
      </c>
      <c r="BR76" s="4">
        <v>47</v>
      </c>
      <c r="BS76" s="4">
        <v>330</v>
      </c>
      <c r="BT76" s="4">
        <v>2009</v>
      </c>
      <c r="BU76" s="4" t="s">
        <v>163</v>
      </c>
      <c r="BV76" s="4" t="s">
        <v>3146</v>
      </c>
      <c r="BW76" s="4" t="s">
        <v>98</v>
      </c>
      <c r="BX76" s="4" t="s">
        <v>99</v>
      </c>
      <c r="BY76" s="4">
        <v>1311</v>
      </c>
      <c r="BZ76" s="4" t="s">
        <v>100</v>
      </c>
      <c r="CA76" s="4">
        <v>4922</v>
      </c>
      <c r="CB76" s="4" t="s">
        <v>1028</v>
      </c>
      <c r="CC76" s="4">
        <v>13110000</v>
      </c>
      <c r="CD76" s="4" t="s">
        <v>276</v>
      </c>
      <c r="CE76" s="4">
        <v>49220000</v>
      </c>
      <c r="CF76" s="4" t="s">
        <v>1027</v>
      </c>
      <c r="CG76" s="4">
        <v>211120</v>
      </c>
      <c r="CH76" s="4" t="s">
        <v>104</v>
      </c>
      <c r="CI76" s="4">
        <v>486210</v>
      </c>
      <c r="CJ76" s="4" t="s">
        <v>1029</v>
      </c>
      <c r="CK76" s="19">
        <f>IF(BQ76&gt;0,BQ76,W76)</f>
        <v>443528000</v>
      </c>
      <c r="CL76" s="20">
        <f>IF(BS76&gt;0,BS76,Y76)</f>
        <v>330</v>
      </c>
      <c r="CM76" s="34">
        <f>IF(CG76&gt;0,CG76,AM76)</f>
        <v>211120</v>
      </c>
      <c r="CN76" s="80">
        <f>IF($BH76="",1,COUNTIF($BH$3:$BH76,$BH76))</f>
        <v>1</v>
      </c>
      <c r="CP76" t="str">
        <f>IF($K76="Standard Match","Match",IF($K76="Name Only Match",IF($CO76="Yes","Match","Name Only Match"),"No Match"))</f>
        <v>Match</v>
      </c>
      <c r="CQ76" s="35" t="str">
        <f>IF(AND(CP76="Match",CK76&gt;0,CL76&gt;0),"Y","N")</f>
        <v>Y</v>
      </c>
      <c r="CS76" t="str">
        <f>IF($CQ76="Y",VLOOKUP($CM76,'SBA Size Standards'!$B$3:$G$57,MATCH('SBA Size Standards'!$G$3,'SBA Size Standards'!$B$3:$G$3,0),FALSE),"")</f>
        <v>Employment</v>
      </c>
      <c r="CT76" s="60" t="str">
        <f>IF(CQ76="Y",IF($CS76="Employment","N/A",VLOOKUP($CM76,'SBA Size Standards'!$B$3:$G$57,MATCH('SBA Size Standards'!$E$3,'SBA Size Standards'!$B$3:$G$3,0),FALSE)),"")</f>
        <v>N/A</v>
      </c>
      <c r="CU76" s="86">
        <f>IF($CQ76="Y",IF($CS76="Revenue","N/A",VLOOKUP($CM76,'SBA Size Standards'!$B$3:$G$57,MATCH('SBA Size Standards'!$F$3,'SBA Size Standards'!$B$3:$G$3,0),FALSE)),"")</f>
        <v>1250</v>
      </c>
      <c r="CV76" t="str">
        <f>IF($CQ76="Y",IF(OR(AND($CS76="Employment",$CL76&lt;$CU76),AND($CS76="Revenue",$CK76&lt;$CT76)),"YES","NO"),"")</f>
        <v>YES</v>
      </c>
      <c r="CW76" s="90" t="str">
        <f>IF($CQ76="Y",INDEX('SBA Size Standards'!$N$3:$N$12,MATCH($CK76,'SBA Size Standards'!$O$3:$O$12,1)),"")</f>
        <v>$100,000,001 - $1,000,000,000</v>
      </c>
      <c r="CX76" s="122" t="s">
        <v>4904</v>
      </c>
      <c r="CY76" s="122">
        <f>INDEX('NM O&amp;G Production'!$P$3:$P$537,MATCH(CX76,'NM O&amp;G Production'!$Q$3:$Q$537,0))</f>
        <v>459</v>
      </c>
      <c r="CZ76" s="122" t="str">
        <f>INDEX('NM O&amp;G Production'!$O$3:$O$537,MATCH(CY76,'NM O&amp;G Production'!$P$3:$P$537,0))</f>
        <v>No</v>
      </c>
      <c r="DA76" s="127">
        <f>INDEX('NM O&amp;G Production'!$K$3:$O$537,MATCH($CY76,'NM O&amp;G Production'!$P$3:$P$537,0),MATCH(DA$2,'NM O&amp;G Production'!$K$2:$O$2,0))</f>
        <v>0</v>
      </c>
      <c r="DB76" s="127">
        <f>INDEX('NM O&amp;G Production'!$K$3:$O$537,MATCH($CY76,'NM O&amp;G Production'!$P$3:$P$537,0),MATCH(DB$2,'NM O&amp;G Production'!$K$2:$O$2,0))</f>
        <v>0</v>
      </c>
      <c r="DC76" s="127"/>
      <c r="DD76" s="127">
        <f>INDEX('NM O&amp;G Production'!$K$3:$O$537,MATCH($CY76,'NM O&amp;G Production'!$P$3:$P$537,0),MATCH(DD$2,'NM O&amp;G Production'!$K$2:$O$2,0))</f>
        <v>0</v>
      </c>
      <c r="DE76" s="127">
        <f>INDEX('NM O&amp;G Production'!$K$3:$O$537,MATCH($CY76,'NM O&amp;G Production'!$P$3:$P$537,0),MATCH(DE$2,'NM O&amp;G Production'!$K$2:$O$2,0))</f>
        <v>0</v>
      </c>
      <c r="DF76" s="258" t="e">
        <f>CK76/(DB76+DA76)</f>
        <v>#DIV/0!</v>
      </c>
      <c r="DG76" s="57">
        <f>DD76*(12/18)*1.06*'Oil and Gas Prices'!$C$18</f>
        <v>0</v>
      </c>
      <c r="DH76" s="284">
        <f>DE76*(12/18)*'Oil and Gas Prices'!$C$4</f>
        <v>0</v>
      </c>
      <c r="DI76" s="284"/>
      <c r="DJ76" s="57" t="e">
        <f>(DG76+DH76)/(DA76+DB76)</f>
        <v>#DIV/0!</v>
      </c>
      <c r="DK76" s="18" t="e">
        <f>CK76/DI76</f>
        <v>#DIV/0!</v>
      </c>
    </row>
    <row r="77" spans="1:115" x14ac:dyDescent="0.25">
      <c r="A77" t="s">
        <v>3137</v>
      </c>
      <c r="B77" t="s">
        <v>3143</v>
      </c>
      <c r="D77" t="s">
        <v>112</v>
      </c>
      <c r="E77" t="s">
        <v>80</v>
      </c>
      <c r="F77">
        <v>77002</v>
      </c>
      <c r="G77" t="s">
        <v>62</v>
      </c>
      <c r="I77">
        <v>461</v>
      </c>
      <c r="J77" t="s">
        <v>63</v>
      </c>
      <c r="K77" t="s">
        <v>4133</v>
      </c>
      <c r="L77" t="s">
        <v>113</v>
      </c>
      <c r="M77">
        <v>8</v>
      </c>
      <c r="N77" t="s">
        <v>3135</v>
      </c>
      <c r="O77" t="s">
        <v>3136</v>
      </c>
      <c r="Q77" t="s">
        <v>3144</v>
      </c>
      <c r="R77" t="s">
        <v>112</v>
      </c>
      <c r="S77" t="s">
        <v>94</v>
      </c>
      <c r="T77" t="s">
        <v>3145</v>
      </c>
      <c r="U77" t="s">
        <v>62</v>
      </c>
      <c r="V77">
        <v>8324134770</v>
      </c>
      <c r="W77" s="1">
        <v>443528000</v>
      </c>
      <c r="X77">
        <v>47</v>
      </c>
      <c r="Y77">
        <v>330</v>
      </c>
      <c r="Z77">
        <v>2009</v>
      </c>
      <c r="AA77" t="s">
        <v>163</v>
      </c>
      <c r="AB77" t="s">
        <v>3146</v>
      </c>
      <c r="AC77" t="s">
        <v>98</v>
      </c>
      <c r="AD77" t="s">
        <v>99</v>
      </c>
      <c r="AE77">
        <v>1311</v>
      </c>
      <c r="AF77" t="s">
        <v>100</v>
      </c>
      <c r="AG77">
        <v>4922</v>
      </c>
      <c r="AH77" t="s">
        <v>1028</v>
      </c>
      <c r="AI77">
        <v>13110000</v>
      </c>
      <c r="AJ77" t="s">
        <v>276</v>
      </c>
      <c r="AK77">
        <v>49220000</v>
      </c>
      <c r="AL77" t="s">
        <v>1027</v>
      </c>
      <c r="AM77">
        <v>211120</v>
      </c>
      <c r="AN77" t="s">
        <v>104</v>
      </c>
      <c r="AO77">
        <v>486210</v>
      </c>
      <c r="AP77" t="s">
        <v>1029</v>
      </c>
      <c r="AQ77" t="s">
        <v>75</v>
      </c>
      <c r="AR77" t="s">
        <v>3135</v>
      </c>
      <c r="AS77" t="s">
        <v>3136</v>
      </c>
      <c r="AT77" t="s">
        <v>427</v>
      </c>
      <c r="AU77" t="s">
        <v>80</v>
      </c>
      <c r="AV77" t="s">
        <v>62</v>
      </c>
      <c r="AW77" t="s">
        <v>3135</v>
      </c>
      <c r="AX77" t="s">
        <v>3136</v>
      </c>
      <c r="AY77" t="s">
        <v>80</v>
      </c>
      <c r="AZ77" t="s">
        <v>62</v>
      </c>
      <c r="BE77" t="s">
        <v>62</v>
      </c>
      <c r="BF77">
        <v>1</v>
      </c>
      <c r="BG77">
        <v>35</v>
      </c>
      <c r="BH77" s="4" t="s">
        <v>3135</v>
      </c>
      <c r="BI77" s="4" t="s">
        <v>3136</v>
      </c>
      <c r="BK77" s="4" t="s">
        <v>3144</v>
      </c>
      <c r="BL77" s="4" t="s">
        <v>112</v>
      </c>
      <c r="BM77" s="4" t="s">
        <v>94</v>
      </c>
      <c r="BN77" s="4" t="s">
        <v>3145</v>
      </c>
      <c r="BO77" s="4" t="s">
        <v>62</v>
      </c>
      <c r="BP77" s="4">
        <v>8324134770</v>
      </c>
      <c r="BQ77" s="5">
        <v>443528000</v>
      </c>
      <c r="BR77" s="4">
        <v>47</v>
      </c>
      <c r="BS77" s="4">
        <v>330</v>
      </c>
      <c r="BT77" s="4">
        <v>2009</v>
      </c>
      <c r="BU77" s="4" t="s">
        <v>163</v>
      </c>
      <c r="BV77" s="4" t="s">
        <v>3146</v>
      </c>
      <c r="BW77" s="4" t="s">
        <v>98</v>
      </c>
      <c r="BX77" s="4" t="s">
        <v>99</v>
      </c>
      <c r="BY77" s="4">
        <v>1311</v>
      </c>
      <c r="BZ77" s="4" t="s">
        <v>100</v>
      </c>
      <c r="CA77" s="4">
        <v>4922</v>
      </c>
      <c r="CB77" s="4" t="s">
        <v>1028</v>
      </c>
      <c r="CC77" s="4">
        <v>13110000</v>
      </c>
      <c r="CD77" s="4" t="s">
        <v>276</v>
      </c>
      <c r="CE77" s="4">
        <v>49220000</v>
      </c>
      <c r="CF77" s="4" t="s">
        <v>1027</v>
      </c>
      <c r="CG77" s="4">
        <v>211120</v>
      </c>
      <c r="CH77" s="4" t="s">
        <v>104</v>
      </c>
      <c r="CI77" s="4">
        <v>486210</v>
      </c>
      <c r="CJ77" s="4" t="s">
        <v>1029</v>
      </c>
      <c r="CK77" s="19">
        <f>IF(BQ77&gt;0,BQ77,W77)</f>
        <v>443528000</v>
      </c>
      <c r="CL77" s="20">
        <f>IF(BS77&gt;0,BS77,Y77)</f>
        <v>330</v>
      </c>
      <c r="CM77" s="34">
        <f>IF(CG77&gt;0,CG77,AM77)</f>
        <v>211120</v>
      </c>
      <c r="CN77" s="80">
        <f>IF($BH77="",1,COUNTIF($BH$3:$BH77,$BH77))</f>
        <v>2</v>
      </c>
      <c r="CP77" t="str">
        <f>IF($K77="Standard Match","Match",IF($K77="Name Only Match",IF($CO77="Yes","Match","Name Only Match"),"No Match"))</f>
        <v>Match</v>
      </c>
      <c r="CQ77" s="35" t="str">
        <f>IF(AND(CP77="Match",CK77&gt;0,CL77&gt;0),"Y","N")</f>
        <v>Y</v>
      </c>
      <c r="CS77" t="str">
        <f>IF($CQ77="Y",VLOOKUP($CM77,'SBA Size Standards'!$B$3:$G$57,MATCH('SBA Size Standards'!$G$3,'SBA Size Standards'!$B$3:$G$3,0),FALSE),"")</f>
        <v>Employment</v>
      </c>
      <c r="CT77" s="60" t="str">
        <f>IF(CQ77="Y",IF($CS77="Employment","N/A",VLOOKUP($CM77,'SBA Size Standards'!$B$3:$G$57,MATCH('SBA Size Standards'!$E$3,'SBA Size Standards'!$B$3:$G$3,0),FALSE)),"")</f>
        <v>N/A</v>
      </c>
      <c r="CU77" s="86">
        <f>IF($CQ77="Y",IF($CS77="Revenue","N/A",VLOOKUP($CM77,'SBA Size Standards'!$B$3:$G$57,MATCH('SBA Size Standards'!$F$3,'SBA Size Standards'!$B$3:$G$3,0),FALSE)),"")</f>
        <v>1250</v>
      </c>
      <c r="CV77" t="str">
        <f>IF($CQ77="Y",IF(OR(AND($CS77="Employment",$CL77&lt;$CU77),AND($CS77="Revenue",$CK77&lt;$CT77)),"YES","NO"),"")</f>
        <v>YES</v>
      </c>
      <c r="CW77" s="90" t="str">
        <f>IF($CQ77="Y",INDEX('SBA Size Standards'!$N$3:$N$12,MATCH($CK77,'SBA Size Standards'!$O$3:$O$12,1)),"")</f>
        <v>$100,000,001 - $1,000,000,000</v>
      </c>
      <c r="CX77" s="122" t="s">
        <v>4906</v>
      </c>
      <c r="CY77" s="122">
        <f>INDEX('NM O&amp;G Production'!$P$3:$P$537,MATCH(CX77,'NM O&amp;G Production'!$Q$3:$Q$537,0))</f>
        <v>461</v>
      </c>
      <c r="CZ77" s="122" t="str">
        <f>INDEX('NM O&amp;G Production'!$O$3:$O$537,MATCH(CY77,'NM O&amp;G Production'!$P$3:$P$537,0))</f>
        <v>No</v>
      </c>
      <c r="DA77" s="127">
        <f>INDEX('NM O&amp;G Production'!$K$3:$O$537,MATCH($CY77,'NM O&amp;G Production'!$P$3:$P$537,0),MATCH(DA$2,'NM O&amp;G Production'!$K$2:$O$2,0))</f>
        <v>0</v>
      </c>
      <c r="DB77" s="127">
        <f>INDEX('NM O&amp;G Production'!$K$3:$O$537,MATCH($CY77,'NM O&amp;G Production'!$P$3:$P$537,0),MATCH(DB$2,'NM O&amp;G Production'!$K$2:$O$2,0))</f>
        <v>0</v>
      </c>
      <c r="DC77" s="127"/>
      <c r="DD77" s="127">
        <f>INDEX('NM O&amp;G Production'!$K$3:$O$537,MATCH($CY77,'NM O&amp;G Production'!$P$3:$P$537,0),MATCH(DD$2,'NM O&amp;G Production'!$K$2:$O$2,0))</f>
        <v>0</v>
      </c>
      <c r="DE77" s="127">
        <f>INDEX('NM O&amp;G Production'!$K$3:$O$537,MATCH($CY77,'NM O&amp;G Production'!$P$3:$P$537,0),MATCH(DE$2,'NM O&amp;G Production'!$K$2:$O$2,0))</f>
        <v>0</v>
      </c>
      <c r="DF77" s="258" t="e">
        <f>CK77/(DB77+DA77)</f>
        <v>#DIV/0!</v>
      </c>
      <c r="DG77" s="57">
        <f>DD77*(12/18)*1.06*'Oil and Gas Prices'!$C$18</f>
        <v>0</v>
      </c>
      <c r="DH77" s="284">
        <f>DE77*(12/18)*'Oil and Gas Prices'!$C$4</f>
        <v>0</v>
      </c>
      <c r="DI77" s="284"/>
      <c r="DJ77" s="57" t="e">
        <f>(DG77+DH77)/(DA77+DB77)</f>
        <v>#DIV/0!</v>
      </c>
      <c r="DK77" s="18" t="e">
        <f>CK77/DI77</f>
        <v>#DIV/0!</v>
      </c>
    </row>
    <row r="78" spans="1:115" x14ac:dyDescent="0.25">
      <c r="A78" t="s">
        <v>2003</v>
      </c>
      <c r="B78" t="s">
        <v>2004</v>
      </c>
      <c r="D78" t="s">
        <v>83</v>
      </c>
      <c r="E78" t="s">
        <v>84</v>
      </c>
      <c r="F78">
        <v>88210</v>
      </c>
      <c r="G78" t="s">
        <v>62</v>
      </c>
      <c r="I78">
        <v>281</v>
      </c>
      <c r="J78" t="s">
        <v>63</v>
      </c>
      <c r="K78" t="s">
        <v>4133</v>
      </c>
      <c r="L78" t="s">
        <v>149</v>
      </c>
      <c r="M78">
        <v>10</v>
      </c>
      <c r="N78" t="s">
        <v>2005</v>
      </c>
      <c r="O78" t="s">
        <v>2003</v>
      </c>
      <c r="Q78" t="s">
        <v>2006</v>
      </c>
      <c r="R78" t="s">
        <v>83</v>
      </c>
      <c r="S78" t="s">
        <v>214</v>
      </c>
      <c r="T78" t="s">
        <v>2007</v>
      </c>
      <c r="U78" t="s">
        <v>62</v>
      </c>
      <c r="V78">
        <v>5757481288</v>
      </c>
      <c r="W78" s="1">
        <v>373982629</v>
      </c>
      <c r="X78">
        <v>200</v>
      </c>
      <c r="Y78">
        <v>500</v>
      </c>
      <c r="Z78">
        <v>1990</v>
      </c>
      <c r="AA78" t="s">
        <v>163</v>
      </c>
      <c r="AB78" t="s">
        <v>2008</v>
      </c>
      <c r="AC78" t="s">
        <v>98</v>
      </c>
      <c r="AD78" t="s">
        <v>99</v>
      </c>
      <c r="AE78">
        <v>1311</v>
      </c>
      <c r="AF78" t="s">
        <v>100</v>
      </c>
      <c r="AI78">
        <v>13110101</v>
      </c>
      <c r="AJ78" t="s">
        <v>102</v>
      </c>
      <c r="AM78">
        <v>211120</v>
      </c>
      <c r="AN78" t="s">
        <v>104</v>
      </c>
      <c r="AQ78" t="s">
        <v>75</v>
      </c>
      <c r="AR78" t="s">
        <v>2005</v>
      </c>
      <c r="AS78" t="s">
        <v>2003</v>
      </c>
      <c r="AT78" t="s">
        <v>427</v>
      </c>
      <c r="AU78" t="s">
        <v>84</v>
      </c>
      <c r="AV78" t="s">
        <v>62</v>
      </c>
      <c r="AW78" t="s">
        <v>2005</v>
      </c>
      <c r="AX78" t="s">
        <v>2003</v>
      </c>
      <c r="AY78" t="s">
        <v>84</v>
      </c>
      <c r="AZ78" t="s">
        <v>62</v>
      </c>
      <c r="BE78" t="s">
        <v>62</v>
      </c>
      <c r="BF78">
        <v>1</v>
      </c>
      <c r="BG78">
        <v>7</v>
      </c>
      <c r="BH78" s="4" t="s">
        <v>2005</v>
      </c>
      <c r="BI78" s="4" t="s">
        <v>2003</v>
      </c>
      <c r="BK78" s="4" t="s">
        <v>2006</v>
      </c>
      <c r="BL78" s="4" t="s">
        <v>83</v>
      </c>
      <c r="BM78" s="4" t="s">
        <v>214</v>
      </c>
      <c r="BN78" s="4" t="s">
        <v>2007</v>
      </c>
      <c r="BO78" s="4" t="s">
        <v>62</v>
      </c>
      <c r="BP78" s="4">
        <v>5757481288</v>
      </c>
      <c r="BQ78" s="5">
        <v>373982629</v>
      </c>
      <c r="BR78" s="4">
        <v>200</v>
      </c>
      <c r="BS78" s="4">
        <v>500</v>
      </c>
      <c r="BT78" s="4">
        <v>1990</v>
      </c>
      <c r="BU78" s="4" t="s">
        <v>163</v>
      </c>
      <c r="BV78" s="4" t="s">
        <v>2008</v>
      </c>
      <c r="BW78" s="4" t="s">
        <v>98</v>
      </c>
      <c r="BX78" s="4" t="s">
        <v>99</v>
      </c>
      <c r="BY78" s="4">
        <v>1311</v>
      </c>
      <c r="BZ78" s="4" t="s">
        <v>100</v>
      </c>
      <c r="CC78" s="4">
        <v>13110101</v>
      </c>
      <c r="CD78" s="4" t="s">
        <v>102</v>
      </c>
      <c r="CG78" s="4">
        <v>211120</v>
      </c>
      <c r="CH78" s="4" t="s">
        <v>104</v>
      </c>
      <c r="CK78" s="19">
        <f>IF(BQ78&gt;0,BQ78,W78)</f>
        <v>373982629</v>
      </c>
      <c r="CL78" s="20">
        <f>IF(BS78&gt;0,BS78,Y78)</f>
        <v>500</v>
      </c>
      <c r="CM78" s="34">
        <f>IF(CG78&gt;0,CG78,AM78)</f>
        <v>211120</v>
      </c>
      <c r="CN78" s="80">
        <f>IF($BH78="",1,COUNTIF($BH$3:$BH78,$BH78))</f>
        <v>1</v>
      </c>
      <c r="CP78" t="str">
        <f>IF($K78="Standard Match","Match",IF($K78="Name Only Match",IF($CO78="Yes","Match","Name Only Match"),"No Match"))</f>
        <v>Match</v>
      </c>
      <c r="CQ78" s="35" t="str">
        <f>IF(AND(CP78="Match",CK78&gt;0,CL78&gt;0),"Y","N")</f>
        <v>Y</v>
      </c>
      <c r="CS78" t="str">
        <f>IF($CQ78="Y",VLOOKUP($CM78,'SBA Size Standards'!$B$3:$G$57,MATCH('SBA Size Standards'!$G$3,'SBA Size Standards'!$B$3:$G$3,0),FALSE),"")</f>
        <v>Employment</v>
      </c>
      <c r="CT78" s="60" t="str">
        <f>IF(CQ78="Y",IF($CS78="Employment","N/A",VLOOKUP($CM78,'SBA Size Standards'!$B$3:$G$57,MATCH('SBA Size Standards'!$E$3,'SBA Size Standards'!$B$3:$G$3,0),FALSE)),"")</f>
        <v>N/A</v>
      </c>
      <c r="CU78" s="86">
        <f>IF($CQ78="Y",IF($CS78="Revenue","N/A",VLOOKUP($CM78,'SBA Size Standards'!$B$3:$G$57,MATCH('SBA Size Standards'!$F$3,'SBA Size Standards'!$B$3:$G$3,0),FALSE)),"")</f>
        <v>1250</v>
      </c>
      <c r="CV78" t="str">
        <f>IF($CQ78="Y",IF(OR(AND($CS78="Employment",$CL78&lt;$CU78),AND($CS78="Revenue",$CK78&lt;$CT78)),"YES","NO"),"")</f>
        <v>YES</v>
      </c>
      <c r="CW78" s="90" t="str">
        <f>IF($CQ78="Y",INDEX('SBA Size Standards'!$N$3:$N$12,MATCH($CK78,'SBA Size Standards'!$O$3:$O$12,1)),"")</f>
        <v>$100,000,001 - $1,000,000,000</v>
      </c>
      <c r="CX78" s="122" t="s">
        <v>5057</v>
      </c>
      <c r="CY78" s="122">
        <f>INDEX('NM O&amp;G Production'!$P$3:$P$537,MATCH(CX78,'NM O&amp;G Production'!$Q$3:$Q$537,0))</f>
        <v>281</v>
      </c>
      <c r="CZ78" s="122" t="str">
        <f>INDEX('NM O&amp;G Production'!$O$3:$O$537,MATCH(CY78,'NM O&amp;G Production'!$P$3:$P$537,0))</f>
        <v>Yes</v>
      </c>
      <c r="DA78" s="127">
        <f>INDEX('NM O&amp;G Production'!$K$3:$O$537,MATCH($CY78,'NM O&amp;G Production'!$P$3:$P$537,0),MATCH(DA$2,'NM O&amp;G Production'!$K$2:$O$2,0))</f>
        <v>62</v>
      </c>
      <c r="DB78" s="127">
        <f>INDEX('NM O&amp;G Production'!$K$3:$O$537,MATCH($CY78,'NM O&amp;G Production'!$P$3:$P$537,0),MATCH(DB$2,'NM O&amp;G Production'!$K$2:$O$2,0))</f>
        <v>197</v>
      </c>
      <c r="DC78" s="127">
        <f>DA78+DB78</f>
        <v>259</v>
      </c>
      <c r="DD78" s="127">
        <f>INDEX('NM O&amp;G Production'!$K$3:$O$537,MATCH($CY78,'NM O&amp;G Production'!$P$3:$P$537,0),MATCH(DD$2,'NM O&amp;G Production'!$K$2:$O$2,0))</f>
        <v>4199159</v>
      </c>
      <c r="DE78" s="127">
        <f>INDEX('NM O&amp;G Production'!$K$3:$O$537,MATCH($CY78,'NM O&amp;G Production'!$P$3:$P$537,0),MATCH(DE$2,'NM O&amp;G Production'!$K$2:$O$2,0))</f>
        <v>2086579</v>
      </c>
      <c r="DF78" s="258">
        <f>CK78/(DB78+DA78)</f>
        <v>1443948.3745173744</v>
      </c>
      <c r="DG78" s="57">
        <f>DD78*(12/18)*1.06*'Oil and Gas Prices'!$C$18</f>
        <v>7092099.6070666667</v>
      </c>
      <c r="DH78" s="284">
        <f>DE78*(12/18)*'Oil and Gas Prices'!$C$4</f>
        <v>62597369.999999993</v>
      </c>
      <c r="DI78" s="284">
        <f>DG78+DH78</f>
        <v>69689469.607066661</v>
      </c>
      <c r="DJ78" s="57">
        <f>(DG78+DH78)/(DA78+DB78)</f>
        <v>269071.31122419558</v>
      </c>
      <c r="DK78" s="318"/>
    </row>
    <row r="79" spans="1:115" x14ac:dyDescent="0.25">
      <c r="A79" t="s">
        <v>1190</v>
      </c>
      <c r="B79" t="s">
        <v>1191</v>
      </c>
      <c r="D79" t="s">
        <v>112</v>
      </c>
      <c r="E79" t="s">
        <v>80</v>
      </c>
      <c r="F79">
        <v>77079</v>
      </c>
      <c r="G79" t="s">
        <v>62</v>
      </c>
      <c r="I79">
        <v>155</v>
      </c>
      <c r="J79" t="s">
        <v>63</v>
      </c>
      <c r="K79" t="s">
        <v>4133</v>
      </c>
      <c r="L79" t="s">
        <v>113</v>
      </c>
      <c r="M79">
        <v>8</v>
      </c>
      <c r="N79" t="s">
        <v>1192</v>
      </c>
      <c r="O79" t="s">
        <v>1193</v>
      </c>
      <c r="Q79" t="s">
        <v>1194</v>
      </c>
      <c r="R79" t="s">
        <v>112</v>
      </c>
      <c r="S79" t="s">
        <v>94</v>
      </c>
      <c r="T79" t="s">
        <v>1195</v>
      </c>
      <c r="U79" t="s">
        <v>62</v>
      </c>
      <c r="V79">
        <v>2818742700</v>
      </c>
      <c r="W79" s="1">
        <v>200014663</v>
      </c>
      <c r="X79">
        <v>1</v>
      </c>
      <c r="Y79">
        <v>1</v>
      </c>
      <c r="Z79">
        <v>2005</v>
      </c>
      <c r="AA79" t="s">
        <v>163</v>
      </c>
      <c r="AB79" t="s">
        <v>1196</v>
      </c>
      <c r="AC79" t="s">
        <v>145</v>
      </c>
      <c r="AD79" t="s">
        <v>99</v>
      </c>
      <c r="AE79">
        <v>1311</v>
      </c>
      <c r="AF79" t="s">
        <v>100</v>
      </c>
      <c r="AI79">
        <v>13110101</v>
      </c>
      <c r="AJ79" t="s">
        <v>102</v>
      </c>
      <c r="AM79">
        <v>211120</v>
      </c>
      <c r="AN79" t="s">
        <v>104</v>
      </c>
      <c r="AQ79" t="s">
        <v>168</v>
      </c>
      <c r="AR79" t="s">
        <v>1197</v>
      </c>
      <c r="AS79" t="s">
        <v>1198</v>
      </c>
      <c r="AT79" t="s">
        <v>76</v>
      </c>
      <c r="AU79" t="s">
        <v>80</v>
      </c>
      <c r="AV79" t="s">
        <v>62</v>
      </c>
      <c r="AW79" t="s">
        <v>1197</v>
      </c>
      <c r="AX79" t="s">
        <v>1198</v>
      </c>
      <c r="AY79" t="s">
        <v>80</v>
      </c>
      <c r="AZ79" t="s">
        <v>62</v>
      </c>
      <c r="BA79" t="s">
        <v>1197</v>
      </c>
      <c r="BC79" t="s">
        <v>1198</v>
      </c>
      <c r="BD79" t="s">
        <v>80</v>
      </c>
      <c r="BE79" t="s">
        <v>62</v>
      </c>
      <c r="BF79">
        <v>2</v>
      </c>
      <c r="BG79">
        <v>9</v>
      </c>
      <c r="BH79" s="4" t="s">
        <v>1197</v>
      </c>
      <c r="BI79" s="4" t="s">
        <v>1198</v>
      </c>
      <c r="BJ79" s="4" t="s">
        <v>4266</v>
      </c>
      <c r="BK79" s="4" t="s">
        <v>4267</v>
      </c>
      <c r="BL79" s="4" t="s">
        <v>112</v>
      </c>
      <c r="BM79" s="4" t="s">
        <v>94</v>
      </c>
      <c r="BN79" s="4" t="s">
        <v>4268</v>
      </c>
      <c r="BO79" s="4" t="s">
        <v>62</v>
      </c>
      <c r="BP79" s="4">
        <v>2818742700</v>
      </c>
      <c r="BQ79" s="5">
        <v>288631000</v>
      </c>
      <c r="BR79" s="4">
        <v>87</v>
      </c>
      <c r="BS79" s="4">
        <v>87</v>
      </c>
      <c r="BT79" s="4">
        <v>1979</v>
      </c>
      <c r="BU79" s="4" t="s">
        <v>163</v>
      </c>
      <c r="BV79" s="4" t="s">
        <v>4269</v>
      </c>
      <c r="BW79" s="4" t="s">
        <v>133</v>
      </c>
      <c r="BX79" s="4" t="s">
        <v>99</v>
      </c>
      <c r="BY79" s="4">
        <v>1311</v>
      </c>
      <c r="BZ79" s="4" t="s">
        <v>100</v>
      </c>
      <c r="CC79" s="4">
        <v>13110100</v>
      </c>
      <c r="CD79" s="4" t="s">
        <v>411</v>
      </c>
      <c r="CG79" s="4">
        <v>211120</v>
      </c>
      <c r="CH79" s="4" t="s">
        <v>104</v>
      </c>
      <c r="CK79" s="19">
        <f>IF(BQ79&gt;0,BQ79,W79)</f>
        <v>288631000</v>
      </c>
      <c r="CL79" s="20">
        <f>IF(BS79&gt;0,BS79,Y79)</f>
        <v>87</v>
      </c>
      <c r="CM79" s="34">
        <f>IF(CG79&gt;0,CG79,AM79)</f>
        <v>211120</v>
      </c>
      <c r="CN79" s="80">
        <f>IF($BH79="",1,COUNTIF($BH$3:$BH79,$BH79))</f>
        <v>1</v>
      </c>
      <c r="CP79" t="str">
        <f>IF($K79="Standard Match","Match",IF($K79="Name Only Match",IF($CO79="Yes","Match","Name Only Match"),"No Match"))</f>
        <v>Match</v>
      </c>
      <c r="CQ79" s="35" t="str">
        <f>IF(AND(CP79="Match",CK79&gt;0,CL79&gt;0),"Y","N")</f>
        <v>Y</v>
      </c>
      <c r="CS79" t="str">
        <f>IF($CQ79="Y",VLOOKUP($CM79,'SBA Size Standards'!$B$3:$G$57,MATCH('SBA Size Standards'!$G$3,'SBA Size Standards'!$B$3:$G$3,0),FALSE),"")</f>
        <v>Employment</v>
      </c>
      <c r="CT79" s="60" t="str">
        <f>IF(CQ79="Y",IF($CS79="Employment","N/A",VLOOKUP($CM79,'SBA Size Standards'!$B$3:$G$57,MATCH('SBA Size Standards'!$E$3,'SBA Size Standards'!$B$3:$G$3,0),FALSE)),"")</f>
        <v>N/A</v>
      </c>
      <c r="CU79" s="86">
        <f>IF($CQ79="Y",IF($CS79="Revenue","N/A",VLOOKUP($CM79,'SBA Size Standards'!$B$3:$G$57,MATCH('SBA Size Standards'!$F$3,'SBA Size Standards'!$B$3:$G$3,0),FALSE)),"")</f>
        <v>1250</v>
      </c>
      <c r="CV79" t="str">
        <f>IF($CQ79="Y",IF(OR(AND($CS79="Employment",$CL79&lt;$CU79),AND($CS79="Revenue",$CK79&lt;$CT79)),"YES","NO"),"")</f>
        <v>YES</v>
      </c>
      <c r="CW79" s="90" t="str">
        <f>IF($CQ79="Y",INDEX('SBA Size Standards'!$N$3:$N$12,MATCH($CK79,'SBA Size Standards'!$O$3:$O$12,1)),"")</f>
        <v>$100,000,001 - $1,000,000,000</v>
      </c>
      <c r="CX79" s="122" t="s">
        <v>4840</v>
      </c>
      <c r="CY79" s="122">
        <f>INDEX('NM O&amp;G Production'!$P$3:$P$537,MATCH(CX79,'NM O&amp;G Production'!$Q$3:$Q$537,0))</f>
        <v>155</v>
      </c>
      <c r="CZ79" s="122" t="str">
        <f>INDEX('NM O&amp;G Production'!$O$3:$O$537,MATCH(CY79,'NM O&amp;G Production'!$P$3:$P$537,0))</f>
        <v>Yes</v>
      </c>
      <c r="DA79" s="127">
        <f>INDEX('NM O&amp;G Production'!$K$3:$O$537,MATCH($CY79,'NM O&amp;G Production'!$P$3:$P$537,0),MATCH(DA$2,'NM O&amp;G Production'!$K$2:$O$2,0))</f>
        <v>0</v>
      </c>
      <c r="DB79" s="127">
        <f>INDEX('NM O&amp;G Production'!$K$3:$O$537,MATCH($CY79,'NM O&amp;G Production'!$P$3:$P$537,0),MATCH(DB$2,'NM O&amp;G Production'!$K$2:$O$2,0))</f>
        <v>23</v>
      </c>
      <c r="DC79" s="127">
        <f>DA79+DB79</f>
        <v>23</v>
      </c>
      <c r="DD79" s="127">
        <f>INDEX('NM O&amp;G Production'!$K$3:$O$537,MATCH($CY79,'NM O&amp;G Production'!$P$3:$P$537,0),MATCH(DD$2,'NM O&amp;G Production'!$K$2:$O$2,0))</f>
        <v>0</v>
      </c>
      <c r="DE79" s="127">
        <f>INDEX('NM O&amp;G Production'!$K$3:$O$537,MATCH($CY79,'NM O&amp;G Production'!$P$3:$P$537,0),MATCH(DE$2,'NM O&amp;G Production'!$K$2:$O$2,0))</f>
        <v>18280</v>
      </c>
      <c r="DF79" s="258">
        <f>CK79/(DB79+DA79)</f>
        <v>12549173.913043479</v>
      </c>
      <c r="DG79" s="57">
        <f>DD79*(12/18)*1.06*'Oil and Gas Prices'!$C$18</f>
        <v>0</v>
      </c>
      <c r="DH79" s="284">
        <f>DE79*(12/18)*'Oil and Gas Prices'!$C$4</f>
        <v>548400</v>
      </c>
      <c r="DI79" s="284">
        <f>DG79+DH79</f>
        <v>548400</v>
      </c>
      <c r="DJ79" s="57">
        <f>(DG79+DH79)/(DA79+DB79)</f>
        <v>23843.478260869564</v>
      </c>
      <c r="DK79" s="318"/>
    </row>
    <row r="80" spans="1:115" x14ac:dyDescent="0.25">
      <c r="A80" t="s">
        <v>678</v>
      </c>
      <c r="B80" t="s">
        <v>679</v>
      </c>
      <c r="D80" t="s">
        <v>112</v>
      </c>
      <c r="E80" t="s">
        <v>80</v>
      </c>
      <c r="F80">
        <v>77269</v>
      </c>
      <c r="G80" t="s">
        <v>62</v>
      </c>
      <c r="I80">
        <v>84</v>
      </c>
      <c r="J80" t="s">
        <v>63</v>
      </c>
      <c r="K80" t="s">
        <v>4133</v>
      </c>
      <c r="L80" t="s">
        <v>279</v>
      </c>
      <c r="M80">
        <v>8</v>
      </c>
      <c r="N80" t="s">
        <v>680</v>
      </c>
      <c r="O80" t="s">
        <v>681</v>
      </c>
      <c r="Q80" t="s">
        <v>682</v>
      </c>
      <c r="R80" t="s">
        <v>112</v>
      </c>
      <c r="S80" t="s">
        <v>94</v>
      </c>
      <c r="T80" t="s">
        <v>683</v>
      </c>
      <c r="U80" t="s">
        <v>62</v>
      </c>
      <c r="V80">
        <v>2818911000</v>
      </c>
      <c r="W80" s="1">
        <v>283537000</v>
      </c>
      <c r="X80">
        <v>170</v>
      </c>
      <c r="Y80">
        <v>507</v>
      </c>
      <c r="Z80">
        <v>1981</v>
      </c>
      <c r="AA80" t="s">
        <v>163</v>
      </c>
      <c r="AB80" t="s">
        <v>684</v>
      </c>
      <c r="AC80" t="s">
        <v>165</v>
      </c>
      <c r="AD80" t="s">
        <v>99</v>
      </c>
      <c r="AE80">
        <v>1311</v>
      </c>
      <c r="AF80" t="s">
        <v>100</v>
      </c>
      <c r="AG80">
        <v>1382</v>
      </c>
      <c r="AH80" t="s">
        <v>120</v>
      </c>
      <c r="AI80">
        <v>13110101</v>
      </c>
      <c r="AJ80" t="s">
        <v>102</v>
      </c>
      <c r="AK80">
        <v>13820000</v>
      </c>
      <c r="AL80" t="s">
        <v>119</v>
      </c>
      <c r="AM80">
        <v>211120</v>
      </c>
      <c r="AN80" t="s">
        <v>104</v>
      </c>
      <c r="AO80">
        <v>213112</v>
      </c>
      <c r="AP80" t="s">
        <v>74</v>
      </c>
      <c r="AQ80" t="s">
        <v>75</v>
      </c>
      <c r="AR80" t="s">
        <v>680</v>
      </c>
      <c r="AS80" t="s">
        <v>681</v>
      </c>
      <c r="AT80" t="s">
        <v>427</v>
      </c>
      <c r="AU80" t="s">
        <v>80</v>
      </c>
      <c r="AV80" t="s">
        <v>62</v>
      </c>
      <c r="AW80" t="s">
        <v>680</v>
      </c>
      <c r="AX80" t="s">
        <v>681</v>
      </c>
      <c r="AY80" t="s">
        <v>80</v>
      </c>
      <c r="AZ80" t="s">
        <v>62</v>
      </c>
      <c r="BE80" t="s">
        <v>62</v>
      </c>
      <c r="BF80">
        <v>1</v>
      </c>
      <c r="BG80">
        <v>28</v>
      </c>
      <c r="BH80" s="4" t="s">
        <v>680</v>
      </c>
      <c r="BI80" s="4" t="s">
        <v>681</v>
      </c>
      <c r="BK80" s="4" t="s">
        <v>682</v>
      </c>
      <c r="BL80" s="4" t="s">
        <v>112</v>
      </c>
      <c r="BM80" s="4" t="s">
        <v>94</v>
      </c>
      <c r="BN80" s="4" t="s">
        <v>683</v>
      </c>
      <c r="BO80" s="4" t="s">
        <v>62</v>
      </c>
      <c r="BP80" s="4">
        <v>2818911000</v>
      </c>
      <c r="BQ80" s="5">
        <v>283537000</v>
      </c>
      <c r="BR80" s="4">
        <v>170</v>
      </c>
      <c r="BS80" s="4">
        <v>507</v>
      </c>
      <c r="BT80" s="4">
        <v>1981</v>
      </c>
      <c r="BU80" s="4" t="s">
        <v>163</v>
      </c>
      <c r="BV80" s="4" t="s">
        <v>684</v>
      </c>
      <c r="BW80" s="4" t="s">
        <v>165</v>
      </c>
      <c r="BX80" s="4" t="s">
        <v>99</v>
      </c>
      <c r="BY80" s="4">
        <v>1311</v>
      </c>
      <c r="BZ80" s="4" t="s">
        <v>100</v>
      </c>
      <c r="CA80" s="4">
        <v>1382</v>
      </c>
      <c r="CB80" s="4" t="s">
        <v>120</v>
      </c>
      <c r="CC80" s="4">
        <v>13110101</v>
      </c>
      <c r="CD80" s="4" t="s">
        <v>102</v>
      </c>
      <c r="CE80" s="4">
        <v>13820000</v>
      </c>
      <c r="CF80" s="4" t="s">
        <v>119</v>
      </c>
      <c r="CG80" s="4">
        <v>211120</v>
      </c>
      <c r="CH80" s="4" t="s">
        <v>104</v>
      </c>
      <c r="CI80" s="4">
        <v>213112</v>
      </c>
      <c r="CJ80" s="4" t="s">
        <v>74</v>
      </c>
      <c r="CK80" s="19">
        <f>IF(BQ80&gt;0,BQ80,W80)</f>
        <v>283537000</v>
      </c>
      <c r="CL80" s="20">
        <f>IF(BS80&gt;0,BS80,Y80)</f>
        <v>507</v>
      </c>
      <c r="CM80" s="34">
        <f>IF(CG80&gt;0,CG80,AM80)</f>
        <v>211120</v>
      </c>
      <c r="CN80" s="80">
        <f>IF($BH80="",1,COUNTIF($BH$3:$BH80,$BH80))</f>
        <v>1</v>
      </c>
      <c r="CP80" t="str">
        <f>IF($K80="Standard Match","Match",IF($K80="Name Only Match",IF($CO80="Yes","Match","Name Only Match"),"No Match"))</f>
        <v>Match</v>
      </c>
      <c r="CQ80" s="35" t="str">
        <f>IF(AND(CP80="Match",CK80&gt;0,CL80&gt;0),"Y","N")</f>
        <v>Y</v>
      </c>
      <c r="CS80" t="str">
        <f>IF($CQ80="Y",VLOOKUP($CM80,'SBA Size Standards'!$B$3:$G$57,MATCH('SBA Size Standards'!$G$3,'SBA Size Standards'!$B$3:$G$3,0),FALSE),"")</f>
        <v>Employment</v>
      </c>
      <c r="CT80" s="60" t="str">
        <f>IF(CQ80="Y",IF($CS80="Employment","N/A",VLOOKUP($CM80,'SBA Size Standards'!$B$3:$G$57,MATCH('SBA Size Standards'!$E$3,'SBA Size Standards'!$B$3:$G$3,0),FALSE)),"")</f>
        <v>N/A</v>
      </c>
      <c r="CU80" s="86">
        <f>IF($CQ80="Y",IF($CS80="Revenue","N/A",VLOOKUP($CM80,'SBA Size Standards'!$B$3:$G$57,MATCH('SBA Size Standards'!$F$3,'SBA Size Standards'!$B$3:$G$3,0),FALSE)),"")</f>
        <v>1250</v>
      </c>
      <c r="CV80" t="str">
        <f>IF($CQ80="Y",IF(OR(AND($CS80="Employment",$CL80&lt;$CU80),AND($CS80="Revenue",$CK80&lt;$CT80)),"YES","NO"),"")</f>
        <v>YES</v>
      </c>
      <c r="CW80" s="90" t="str">
        <f>IF($CQ80="Y",INDEX('SBA Size Standards'!$N$3:$N$12,MATCH($CK80,'SBA Size Standards'!$O$3:$O$12,1)),"")</f>
        <v>$100,000,001 - $1,000,000,000</v>
      </c>
      <c r="CX80" s="122" t="s">
        <v>5068</v>
      </c>
      <c r="CY80" s="122">
        <f>INDEX('NM O&amp;G Production'!$P$3:$P$537,MATCH(CX80,'NM O&amp;G Production'!$Q$3:$Q$537,0))</f>
        <v>84</v>
      </c>
      <c r="CZ80" s="122" t="str">
        <f>INDEX('NM O&amp;G Production'!$O$3:$O$537,MATCH(CY80,'NM O&amp;G Production'!$P$3:$P$537,0))</f>
        <v>Yes</v>
      </c>
      <c r="DA80" s="127">
        <f>INDEX('NM O&amp;G Production'!$K$3:$O$537,MATCH($CY80,'NM O&amp;G Production'!$P$3:$P$537,0),MATCH(DA$2,'NM O&amp;G Production'!$K$2:$O$2,0))</f>
        <v>9</v>
      </c>
      <c r="DB80" s="127">
        <f>INDEX('NM O&amp;G Production'!$K$3:$O$537,MATCH($CY80,'NM O&amp;G Production'!$P$3:$P$537,0),MATCH(DB$2,'NM O&amp;G Production'!$K$2:$O$2,0))</f>
        <v>30</v>
      </c>
      <c r="DC80" s="127">
        <f>DA80+DB80</f>
        <v>39</v>
      </c>
      <c r="DD80" s="127">
        <f>INDEX('NM O&amp;G Production'!$K$3:$O$537,MATCH($CY80,'NM O&amp;G Production'!$P$3:$P$537,0),MATCH(DD$2,'NM O&amp;G Production'!$K$2:$O$2,0))</f>
        <v>449231</v>
      </c>
      <c r="DE80" s="127">
        <f>INDEX('NM O&amp;G Production'!$K$3:$O$537,MATCH($CY80,'NM O&amp;G Production'!$P$3:$P$537,0),MATCH(DE$2,'NM O&amp;G Production'!$K$2:$O$2,0))</f>
        <v>9537</v>
      </c>
      <c r="DF80" s="258">
        <f>CK80/(DB80+DA80)</f>
        <v>7270179.487179487</v>
      </c>
      <c r="DG80" s="57">
        <f>DD80*(12/18)*1.06*'Oil and Gas Prices'!$C$18</f>
        <v>758721.2102666666</v>
      </c>
      <c r="DH80" s="284">
        <f>DE80*(12/18)*'Oil and Gas Prices'!$C$4</f>
        <v>286110</v>
      </c>
      <c r="DI80" s="284">
        <f>DG80+DH80</f>
        <v>1044831.2102666666</v>
      </c>
      <c r="DJ80" s="57">
        <f>(DG80+DH80)/(DA80+DB80)</f>
        <v>26790.54385299145</v>
      </c>
      <c r="DK80" s="318"/>
    </row>
    <row r="81" spans="1:115" x14ac:dyDescent="0.25">
      <c r="A81" t="s">
        <v>363</v>
      </c>
      <c r="B81" t="s">
        <v>364</v>
      </c>
      <c r="D81" t="s">
        <v>153</v>
      </c>
      <c r="E81" t="s">
        <v>80</v>
      </c>
      <c r="F81" t="s">
        <v>365</v>
      </c>
      <c r="G81" t="s">
        <v>62</v>
      </c>
      <c r="I81">
        <v>44</v>
      </c>
      <c r="J81" t="s">
        <v>63</v>
      </c>
      <c r="K81" t="s">
        <v>4133</v>
      </c>
      <c r="L81" t="s">
        <v>64</v>
      </c>
      <c r="M81">
        <v>10</v>
      </c>
      <c r="N81" t="s">
        <v>366</v>
      </c>
      <c r="O81" t="s">
        <v>367</v>
      </c>
      <c r="Q81" t="s">
        <v>368</v>
      </c>
      <c r="R81" t="s">
        <v>153</v>
      </c>
      <c r="S81" t="s">
        <v>94</v>
      </c>
      <c r="T81" t="s">
        <v>365</v>
      </c>
      <c r="U81" t="s">
        <v>62</v>
      </c>
      <c r="V81">
        <v>4326832277</v>
      </c>
      <c r="X81">
        <v>21</v>
      </c>
      <c r="Y81">
        <v>0</v>
      </c>
      <c r="AA81" t="s">
        <v>96</v>
      </c>
      <c r="AB81" t="s">
        <v>369</v>
      </c>
      <c r="AC81" t="s">
        <v>179</v>
      </c>
      <c r="AD81" t="s">
        <v>370</v>
      </c>
      <c r="AE81">
        <v>5983</v>
      </c>
      <c r="AF81" t="s">
        <v>371</v>
      </c>
      <c r="AI81">
        <v>59830000</v>
      </c>
      <c r="AJ81" t="s">
        <v>370</v>
      </c>
      <c r="AM81">
        <v>454310</v>
      </c>
      <c r="AN81" t="s">
        <v>193</v>
      </c>
      <c r="AQ81" t="s">
        <v>75</v>
      </c>
      <c r="AR81" t="s">
        <v>372</v>
      </c>
      <c r="AS81" t="s">
        <v>373</v>
      </c>
      <c r="AT81" t="s">
        <v>76</v>
      </c>
      <c r="AU81" t="s">
        <v>80</v>
      </c>
      <c r="AV81" t="s">
        <v>62</v>
      </c>
      <c r="AW81" t="s">
        <v>372</v>
      </c>
      <c r="AX81" t="s">
        <v>373</v>
      </c>
      <c r="AY81" t="s">
        <v>80</v>
      </c>
      <c r="AZ81" t="s">
        <v>62</v>
      </c>
      <c r="BB81" t="s">
        <v>374</v>
      </c>
      <c r="BC81" t="s">
        <v>367</v>
      </c>
      <c r="BD81" t="s">
        <v>80</v>
      </c>
      <c r="BE81" t="s">
        <v>62</v>
      </c>
      <c r="BF81">
        <v>2</v>
      </c>
      <c r="BG81">
        <v>22</v>
      </c>
      <c r="BH81" s="4" t="s">
        <v>372</v>
      </c>
      <c r="BI81" s="4" t="s">
        <v>373</v>
      </c>
      <c r="BJ81" s="4" t="s">
        <v>4147</v>
      </c>
      <c r="BK81" s="4" t="s">
        <v>4148</v>
      </c>
      <c r="BL81" s="4" t="s">
        <v>88</v>
      </c>
      <c r="BM81" s="4" t="s">
        <v>94</v>
      </c>
      <c r="BN81" s="4" t="s">
        <v>4149</v>
      </c>
      <c r="BO81" s="4" t="s">
        <v>62</v>
      </c>
      <c r="BP81" s="4">
        <v>8176980200</v>
      </c>
      <c r="BQ81" s="5">
        <v>255754044</v>
      </c>
      <c r="BR81" s="4">
        <v>250</v>
      </c>
      <c r="BS81" s="4">
        <v>700</v>
      </c>
      <c r="BT81" s="4">
        <v>1960</v>
      </c>
      <c r="BU81" s="4" t="s">
        <v>163</v>
      </c>
      <c r="BV81" s="4" t="s">
        <v>4150</v>
      </c>
      <c r="BW81" s="4" t="s">
        <v>98</v>
      </c>
      <c r="BX81" s="4" t="s">
        <v>253</v>
      </c>
      <c r="BY81" s="4">
        <v>5541</v>
      </c>
      <c r="BZ81" s="4" t="s">
        <v>254</v>
      </c>
      <c r="CA81" s="4">
        <v>1382</v>
      </c>
      <c r="CB81" s="4" t="s">
        <v>120</v>
      </c>
      <c r="CC81" s="4">
        <v>55419901</v>
      </c>
      <c r="CD81" s="4" t="s">
        <v>255</v>
      </c>
      <c r="CE81" s="4">
        <v>13820000</v>
      </c>
      <c r="CF81" s="4" t="s">
        <v>119</v>
      </c>
      <c r="CG81" s="4">
        <v>447190</v>
      </c>
      <c r="CH81" s="4" t="s">
        <v>256</v>
      </c>
      <c r="CI81" s="4">
        <v>213112</v>
      </c>
      <c r="CJ81" s="4" t="s">
        <v>74</v>
      </c>
      <c r="CK81" s="19">
        <f>IF(BQ81&gt;0,BQ81,W81)</f>
        <v>255754044</v>
      </c>
      <c r="CL81" s="20">
        <f>IF(BS81&gt;0,BS81,Y81)</f>
        <v>700</v>
      </c>
      <c r="CM81" s="34">
        <f>IF(CG81&gt;0,CG81,AM81)</f>
        <v>447190</v>
      </c>
      <c r="CN81" s="80">
        <f>IF($BH81="",1,COUNTIF($BH$3:$BH81,$BH81))</f>
        <v>1</v>
      </c>
      <c r="CP81" t="str">
        <f>IF($K81="Standard Match","Match",IF($K81="Name Only Match",IF($CO81="Yes","Match","Name Only Match"),"No Match"))</f>
        <v>Match</v>
      </c>
      <c r="CQ81" s="35" t="str">
        <f>IF(AND(CP81="Match",CK81&gt;0,CL81&gt;0),"Y","N")</f>
        <v>Y</v>
      </c>
      <c r="CS81" t="str">
        <f>IF($CQ81="Y",VLOOKUP($CM81,'SBA Size Standards'!$B$3:$G$57,MATCH('SBA Size Standards'!$G$3,'SBA Size Standards'!$B$3:$G$3,0),FALSE),"")</f>
        <v>Revenue</v>
      </c>
      <c r="CT81" s="60">
        <f>IF(CQ81="Y",IF($CS81="Employment","N/A",VLOOKUP($CM81,'SBA Size Standards'!$B$3:$G$57,MATCH('SBA Size Standards'!$E$3,'SBA Size Standards'!$B$3:$G$3,0),FALSE)),"")</f>
        <v>16500000</v>
      </c>
      <c r="CU81" s="86" t="str">
        <f>IF($CQ81="Y",IF($CS81="Revenue","N/A",VLOOKUP($CM81,'SBA Size Standards'!$B$3:$G$57,MATCH('SBA Size Standards'!$F$3,'SBA Size Standards'!$B$3:$G$3,0),FALSE)),"")</f>
        <v>N/A</v>
      </c>
      <c r="CV81" t="str">
        <f>IF($CQ81="Y",IF(OR(AND($CS81="Employment",$CL81&lt;$CU81),AND($CS81="Revenue",$CK81&lt;$CT81)),"YES","NO"),"")</f>
        <v>NO</v>
      </c>
      <c r="CW81" s="90" t="str">
        <f>IF($CQ81="Y",INDEX('SBA Size Standards'!$N$3:$N$12,MATCH($CK81,'SBA Size Standards'!$O$3:$O$12,1)),"")</f>
        <v>$100,000,001 - $1,000,000,000</v>
      </c>
      <c r="CX81" s="122" t="s">
        <v>4549</v>
      </c>
      <c r="CY81" s="122">
        <f>INDEX('NM O&amp;G Production'!$P$3:$P$537,MATCH(CX81,'NM O&amp;G Production'!$Q$3:$Q$537,0))</f>
        <v>44</v>
      </c>
      <c r="CZ81" s="122" t="str">
        <f>INDEX('NM O&amp;G Production'!$O$3:$O$537,MATCH(CY81,'NM O&amp;G Production'!$P$3:$P$537,0))</f>
        <v>No</v>
      </c>
      <c r="DA81" s="127">
        <f>INDEX('NM O&amp;G Production'!$K$3:$O$537,MATCH($CY81,'NM O&amp;G Production'!$P$3:$P$537,0),MATCH(DA$2,'NM O&amp;G Production'!$K$2:$O$2,0))</f>
        <v>0</v>
      </c>
      <c r="DB81" s="127">
        <f>INDEX('NM O&amp;G Production'!$K$3:$O$537,MATCH($CY81,'NM O&amp;G Production'!$P$3:$P$537,0),MATCH(DB$2,'NM O&amp;G Production'!$K$2:$O$2,0))</f>
        <v>0</v>
      </c>
      <c r="DC81" s="127"/>
      <c r="DD81" s="127">
        <f>INDEX('NM O&amp;G Production'!$K$3:$O$537,MATCH($CY81,'NM O&amp;G Production'!$P$3:$P$537,0),MATCH(DD$2,'NM O&amp;G Production'!$K$2:$O$2,0))</f>
        <v>0</v>
      </c>
      <c r="DE81" s="127">
        <f>INDEX('NM O&amp;G Production'!$K$3:$O$537,MATCH($CY81,'NM O&amp;G Production'!$P$3:$P$537,0),MATCH(DE$2,'NM O&amp;G Production'!$K$2:$O$2,0))</f>
        <v>0</v>
      </c>
      <c r="DF81" s="258" t="e">
        <f>CK81/(DB81+DA81)</f>
        <v>#DIV/0!</v>
      </c>
      <c r="DG81" s="57">
        <f>DD81*(12/18)*1.06*'Oil and Gas Prices'!$C$18</f>
        <v>0</v>
      </c>
      <c r="DH81" s="284">
        <f>DE81*(12/18)*'Oil and Gas Prices'!$C$4</f>
        <v>0</v>
      </c>
      <c r="DI81" s="284"/>
      <c r="DJ81" s="57" t="e">
        <f>(DG81+DH81)/(DA81+DB81)</f>
        <v>#DIV/0!</v>
      </c>
      <c r="DK81" s="18" t="e">
        <f>CK81/DI81</f>
        <v>#DIV/0!</v>
      </c>
    </row>
    <row r="82" spans="1:115" x14ac:dyDescent="0.25">
      <c r="A82" t="s">
        <v>1591</v>
      </c>
      <c r="B82" t="s">
        <v>1592</v>
      </c>
      <c r="D82" t="s">
        <v>378</v>
      </c>
      <c r="E82" t="s">
        <v>80</v>
      </c>
      <c r="F82">
        <v>75244</v>
      </c>
      <c r="G82" t="s">
        <v>62</v>
      </c>
      <c r="I82">
        <v>216</v>
      </c>
      <c r="J82" t="s">
        <v>63</v>
      </c>
      <c r="K82" t="s">
        <v>4133</v>
      </c>
      <c r="L82" t="s">
        <v>965</v>
      </c>
      <c r="M82">
        <v>8</v>
      </c>
      <c r="N82" t="s">
        <v>1593</v>
      </c>
      <c r="O82" t="s">
        <v>1594</v>
      </c>
      <c r="Q82" t="s">
        <v>1595</v>
      </c>
      <c r="R82" t="s">
        <v>378</v>
      </c>
      <c r="S82" t="s">
        <v>94</v>
      </c>
      <c r="T82" t="s">
        <v>1596</v>
      </c>
      <c r="U82" t="s">
        <v>62</v>
      </c>
      <c r="V82">
        <v>9729603210</v>
      </c>
      <c r="W82" s="1">
        <v>741655</v>
      </c>
      <c r="X82">
        <v>10</v>
      </c>
      <c r="Y82">
        <v>10</v>
      </c>
      <c r="Z82">
        <v>2017</v>
      </c>
      <c r="AA82" t="s">
        <v>70</v>
      </c>
      <c r="AB82" t="s">
        <v>1597</v>
      </c>
      <c r="AC82" t="s">
        <v>145</v>
      </c>
      <c r="AD82" t="s">
        <v>825</v>
      </c>
      <c r="AE82">
        <v>5172</v>
      </c>
      <c r="AF82" t="s">
        <v>826</v>
      </c>
      <c r="AI82">
        <v>51720200</v>
      </c>
      <c r="AJ82" t="s">
        <v>1598</v>
      </c>
      <c r="AM82">
        <v>424720</v>
      </c>
      <c r="AN82" t="s">
        <v>827</v>
      </c>
      <c r="AQ82" t="s">
        <v>168</v>
      </c>
      <c r="AR82" t="s">
        <v>1599</v>
      </c>
      <c r="AS82" t="s">
        <v>1600</v>
      </c>
      <c r="AT82" t="s">
        <v>76</v>
      </c>
      <c r="AU82" t="s">
        <v>80</v>
      </c>
      <c r="AV82" t="s">
        <v>62</v>
      </c>
      <c r="AW82" t="s">
        <v>1599</v>
      </c>
      <c r="AX82" t="s">
        <v>1600</v>
      </c>
      <c r="AY82" t="s">
        <v>80</v>
      </c>
      <c r="AZ82" t="s">
        <v>62</v>
      </c>
      <c r="BA82" t="s">
        <v>1599</v>
      </c>
      <c r="BC82" t="s">
        <v>1600</v>
      </c>
      <c r="BD82" t="s">
        <v>80</v>
      </c>
      <c r="BE82" t="s">
        <v>62</v>
      </c>
      <c r="BF82">
        <v>2</v>
      </c>
      <c r="BG82">
        <v>3</v>
      </c>
      <c r="BH82" s="4" t="s">
        <v>1599</v>
      </c>
      <c r="BI82" s="4" t="s">
        <v>1600</v>
      </c>
      <c r="BK82" s="4" t="s">
        <v>1595</v>
      </c>
      <c r="BL82" s="4" t="s">
        <v>378</v>
      </c>
      <c r="BM82" s="4" t="s">
        <v>94</v>
      </c>
      <c r="BN82" s="4" t="s">
        <v>1596</v>
      </c>
      <c r="BO82" s="4" t="s">
        <v>62</v>
      </c>
      <c r="BP82" s="4">
        <v>9729603210</v>
      </c>
      <c r="BQ82" s="5">
        <v>250000000</v>
      </c>
      <c r="BR82" s="4">
        <v>11</v>
      </c>
      <c r="BS82" s="4">
        <v>21</v>
      </c>
      <c r="BT82" s="4">
        <v>2006</v>
      </c>
      <c r="BU82" s="4" t="s">
        <v>163</v>
      </c>
      <c r="BV82" s="4" t="s">
        <v>1597</v>
      </c>
      <c r="BW82" s="4" t="s">
        <v>145</v>
      </c>
      <c r="BX82" s="4" t="s">
        <v>99</v>
      </c>
      <c r="BY82" s="4">
        <v>1311</v>
      </c>
      <c r="BZ82" s="4" t="s">
        <v>100</v>
      </c>
      <c r="CA82" s="4">
        <v>1541</v>
      </c>
      <c r="CB82" s="4" t="s">
        <v>4275</v>
      </c>
      <c r="CC82" s="4">
        <v>13110102</v>
      </c>
      <c r="CD82" s="4" t="s">
        <v>599</v>
      </c>
      <c r="CE82" s="4">
        <v>15419902</v>
      </c>
      <c r="CF82" s="4" t="s">
        <v>4276</v>
      </c>
      <c r="CG82" s="4">
        <v>211120</v>
      </c>
      <c r="CH82" s="4" t="s">
        <v>104</v>
      </c>
      <c r="CI82" s="4">
        <v>236220</v>
      </c>
      <c r="CJ82" s="4" t="s">
        <v>4277</v>
      </c>
      <c r="CK82" s="19">
        <f>IF(BQ82&gt;0,BQ82,W82)</f>
        <v>250000000</v>
      </c>
      <c r="CL82" s="20">
        <f>IF(BS82&gt;0,BS82,Y82)</f>
        <v>21</v>
      </c>
      <c r="CM82" s="34">
        <f>IF(CG82&gt;0,CG82,AM82)</f>
        <v>211120</v>
      </c>
      <c r="CN82" s="80">
        <f>IF($BH82="",1,COUNTIF($BH$3:$BH82,$BH82))</f>
        <v>1</v>
      </c>
      <c r="CP82" t="str">
        <f>IF($K82="Standard Match","Match",IF($K82="Name Only Match",IF($CO82="Yes","Match","Name Only Match"),"No Match"))</f>
        <v>Match</v>
      </c>
      <c r="CQ82" s="35" t="str">
        <f>IF(AND(CP82="Match",CK82&gt;0,CL82&gt;0),"Y","N")</f>
        <v>Y</v>
      </c>
      <c r="CS82" t="str">
        <f>IF($CQ82="Y",VLOOKUP($CM82,'SBA Size Standards'!$B$3:$G$57,MATCH('SBA Size Standards'!$G$3,'SBA Size Standards'!$B$3:$G$3,0),FALSE),"")</f>
        <v>Employment</v>
      </c>
      <c r="CT82" s="60" t="str">
        <f>IF(CQ82="Y",IF($CS82="Employment","N/A",VLOOKUP($CM82,'SBA Size Standards'!$B$3:$G$57,MATCH('SBA Size Standards'!$E$3,'SBA Size Standards'!$B$3:$G$3,0),FALSE)),"")</f>
        <v>N/A</v>
      </c>
      <c r="CU82" s="86">
        <f>IF($CQ82="Y",IF($CS82="Revenue","N/A",VLOOKUP($CM82,'SBA Size Standards'!$B$3:$G$57,MATCH('SBA Size Standards'!$F$3,'SBA Size Standards'!$B$3:$G$3,0),FALSE)),"")</f>
        <v>1250</v>
      </c>
      <c r="CV82" t="str">
        <f>IF($CQ82="Y",IF(OR(AND($CS82="Employment",$CL82&lt;$CU82),AND($CS82="Revenue",$CK82&lt;$CT82)),"YES","NO"),"")</f>
        <v>YES</v>
      </c>
      <c r="CW82" s="90" t="str">
        <f>IF($CQ82="Y",INDEX('SBA Size Standards'!$N$3:$N$12,MATCH($CK82,'SBA Size Standards'!$O$3:$O$12,1)),"")</f>
        <v>$100,000,001 - $1,000,000,000</v>
      </c>
      <c r="CX82" s="122" t="s">
        <v>4850</v>
      </c>
      <c r="CY82" s="122">
        <f>INDEX('NM O&amp;G Production'!$P$3:$P$537,MATCH(CX82,'NM O&amp;G Production'!$Q$3:$Q$537,0))</f>
        <v>216</v>
      </c>
      <c r="CZ82" s="122" t="str">
        <f>INDEX('NM O&amp;G Production'!$O$3:$O$537,MATCH(CY82,'NM O&amp;G Production'!$P$3:$P$537,0))</f>
        <v>Yes</v>
      </c>
      <c r="DA82" s="127">
        <f>INDEX('NM O&amp;G Production'!$K$3:$O$537,MATCH($CY82,'NM O&amp;G Production'!$P$3:$P$537,0),MATCH(DA$2,'NM O&amp;G Production'!$K$2:$O$2,0))</f>
        <v>39</v>
      </c>
      <c r="DB82" s="127">
        <f>INDEX('NM O&amp;G Production'!$K$3:$O$537,MATCH($CY82,'NM O&amp;G Production'!$P$3:$P$537,0),MATCH(DB$2,'NM O&amp;G Production'!$K$2:$O$2,0))</f>
        <v>406</v>
      </c>
      <c r="DC82" s="127">
        <f>DA82+DB82</f>
        <v>445</v>
      </c>
      <c r="DD82" s="127">
        <f>INDEX('NM O&amp;G Production'!$K$3:$O$537,MATCH($CY82,'NM O&amp;G Production'!$P$3:$P$537,0),MATCH(DD$2,'NM O&amp;G Production'!$K$2:$O$2,0))</f>
        <v>4755676</v>
      </c>
      <c r="DE82" s="127">
        <f>INDEX('NM O&amp;G Production'!$K$3:$O$537,MATCH($CY82,'NM O&amp;G Production'!$P$3:$P$537,0),MATCH(DE$2,'NM O&amp;G Production'!$K$2:$O$2,0))</f>
        <v>17753</v>
      </c>
      <c r="DF82" s="258">
        <f>CK82/(DB82+DA82)</f>
        <v>561797.75280898879</v>
      </c>
      <c r="DG82" s="57">
        <f>DD82*(12/18)*1.06*'Oil and Gas Prices'!$C$18</f>
        <v>8032019.7189333336</v>
      </c>
      <c r="DH82" s="284">
        <f>DE82*(12/18)*'Oil and Gas Prices'!$C$4</f>
        <v>532590</v>
      </c>
      <c r="DI82" s="284">
        <f>DG82+DH82</f>
        <v>8564609.7189333327</v>
      </c>
      <c r="DJ82" s="57">
        <f>(DG82+DH82)/(DA82+DB82)</f>
        <v>19246.313975131085</v>
      </c>
      <c r="DK82" s="319"/>
    </row>
    <row r="83" spans="1:115" x14ac:dyDescent="0.25">
      <c r="A83" s="21" t="s">
        <v>1515</v>
      </c>
      <c r="B83" s="21" t="s">
        <v>1516</v>
      </c>
      <c r="C83" s="21"/>
      <c r="D83" s="21" t="s">
        <v>593</v>
      </c>
      <c r="E83" s="21" t="s">
        <v>84</v>
      </c>
      <c r="F83">
        <v>87410</v>
      </c>
      <c r="G83" t="s">
        <v>62</v>
      </c>
      <c r="I83">
        <v>205</v>
      </c>
      <c r="J83" t="s">
        <v>63</v>
      </c>
      <c r="K83" t="s">
        <v>4134</v>
      </c>
      <c r="L83" t="s">
        <v>3627</v>
      </c>
      <c r="M83">
        <v>8</v>
      </c>
      <c r="N83" t="s">
        <v>1518</v>
      </c>
      <c r="O83" s="21" t="s">
        <v>1515</v>
      </c>
      <c r="P83" s="21"/>
      <c r="Q83" s="21" t="s">
        <v>1490</v>
      </c>
      <c r="R83" s="21" t="s">
        <v>112</v>
      </c>
      <c r="S83" s="21" t="s">
        <v>94</v>
      </c>
      <c r="T83" t="s">
        <v>1491</v>
      </c>
      <c r="U83" t="s">
        <v>62</v>
      </c>
      <c r="V83">
        <v>7132092400</v>
      </c>
      <c r="W83" s="23">
        <v>179673684</v>
      </c>
      <c r="X83" s="21">
        <v>18</v>
      </c>
      <c r="Y83" s="31">
        <v>1350</v>
      </c>
      <c r="Z83">
        <v>1988</v>
      </c>
      <c r="AA83" s="21" t="s">
        <v>163</v>
      </c>
      <c r="AB83" t="s">
        <v>1519</v>
      </c>
      <c r="AC83" t="s">
        <v>133</v>
      </c>
      <c r="AD83" s="21" t="s">
        <v>99</v>
      </c>
      <c r="AE83">
        <v>1311</v>
      </c>
      <c r="AF83" t="s">
        <v>100</v>
      </c>
      <c r="AG83">
        <v>1382</v>
      </c>
      <c r="AH83" t="s">
        <v>120</v>
      </c>
      <c r="AI83">
        <v>13110101</v>
      </c>
      <c r="AJ83" t="s">
        <v>102</v>
      </c>
      <c r="AK83">
        <v>13820000</v>
      </c>
      <c r="AL83" t="s">
        <v>119</v>
      </c>
      <c r="AM83" s="21">
        <v>211120</v>
      </c>
      <c r="AN83" s="21" t="s">
        <v>104</v>
      </c>
      <c r="AO83" s="21">
        <v>213112</v>
      </c>
      <c r="AP83" s="21" t="s">
        <v>74</v>
      </c>
      <c r="AQ83" s="21" t="s">
        <v>75</v>
      </c>
      <c r="AR83" t="s">
        <v>1518</v>
      </c>
      <c r="AS83" t="s">
        <v>1515</v>
      </c>
      <c r="AT83" t="s">
        <v>427</v>
      </c>
      <c r="AU83" t="s">
        <v>80</v>
      </c>
      <c r="AV83" t="s">
        <v>62</v>
      </c>
      <c r="AW83" t="s">
        <v>1518</v>
      </c>
      <c r="AX83" t="s">
        <v>1515</v>
      </c>
      <c r="AY83" t="s">
        <v>80</v>
      </c>
      <c r="AZ83" t="s">
        <v>62</v>
      </c>
      <c r="BE83" t="s">
        <v>62</v>
      </c>
      <c r="BF83">
        <v>1</v>
      </c>
      <c r="BG83" s="24">
        <v>21</v>
      </c>
      <c r="BH83" s="24" t="s">
        <v>1518</v>
      </c>
      <c r="BI83" s="24" t="s">
        <v>1515</v>
      </c>
      <c r="BJ83" s="24"/>
      <c r="BK83" s="24" t="s">
        <v>1490</v>
      </c>
      <c r="BL83" s="24" t="s">
        <v>112</v>
      </c>
      <c r="BM83" s="24" t="s">
        <v>94</v>
      </c>
      <c r="BN83" s="24" t="s">
        <v>1491</v>
      </c>
      <c r="BO83" s="24" t="s">
        <v>62</v>
      </c>
      <c r="BP83" s="4">
        <v>7132092400</v>
      </c>
      <c r="BQ83" s="25">
        <v>179673684</v>
      </c>
      <c r="BR83" s="24">
        <v>18</v>
      </c>
      <c r="BS83" s="26">
        <v>1350</v>
      </c>
      <c r="BT83" s="4">
        <v>1988</v>
      </c>
      <c r="BU83" s="24" t="s">
        <v>163</v>
      </c>
      <c r="BV83" s="4" t="s">
        <v>1519</v>
      </c>
      <c r="BW83" s="4" t="s">
        <v>133</v>
      </c>
      <c r="BX83" s="24" t="s">
        <v>99</v>
      </c>
      <c r="BY83" s="4">
        <v>1311</v>
      </c>
      <c r="BZ83" s="4" t="s">
        <v>100</v>
      </c>
      <c r="CA83" s="4">
        <v>1382</v>
      </c>
      <c r="CB83" s="4" t="s">
        <v>120</v>
      </c>
      <c r="CC83" s="4">
        <v>13110101</v>
      </c>
      <c r="CD83" s="4" t="s">
        <v>102</v>
      </c>
      <c r="CE83" s="4">
        <v>13820000</v>
      </c>
      <c r="CF83" s="4" t="s">
        <v>119</v>
      </c>
      <c r="CG83" s="24">
        <v>211120</v>
      </c>
      <c r="CH83" s="24" t="s">
        <v>104</v>
      </c>
      <c r="CI83" s="24">
        <v>213112</v>
      </c>
      <c r="CJ83" s="24" t="s">
        <v>74</v>
      </c>
      <c r="CK83" s="19">
        <f>IF(BQ83&gt;0,BQ83,W83)</f>
        <v>179673684</v>
      </c>
      <c r="CL83" s="20">
        <f>IF(BS83&gt;0,BS83,Y83)</f>
        <v>1350</v>
      </c>
      <c r="CM83" s="34">
        <f>IF(CG83&gt;0,CG83,AM83)</f>
        <v>211120</v>
      </c>
      <c r="CN83" s="80">
        <f>IF($BH83="",1,COUNTIF($BH$3:$BH83,$BH83))</f>
        <v>1</v>
      </c>
      <c r="CO83" s="33" t="s">
        <v>4386</v>
      </c>
      <c r="CP83" t="str">
        <f>IF($K83="Standard Match","Match",IF($K83="Name Only Match",IF($CO83="Yes","Match","Name Only Match"),"No Match"))</f>
        <v>Match</v>
      </c>
      <c r="CQ83" s="35" t="str">
        <f>IF(AND(CP83="Match",CK83&gt;0,CL83&gt;0),"Y","N")</f>
        <v>Y</v>
      </c>
      <c r="CR83" s="21"/>
      <c r="CS83" t="str">
        <f>IF($CQ83="Y",VLOOKUP($CM83,'SBA Size Standards'!$B$3:$G$57,MATCH('SBA Size Standards'!$G$3,'SBA Size Standards'!$B$3:$G$3,0),FALSE),"")</f>
        <v>Employment</v>
      </c>
      <c r="CT83" s="60" t="str">
        <f>IF(CQ83="Y",IF($CS83="Employment","N/A",VLOOKUP($CM83,'SBA Size Standards'!$B$3:$G$57,MATCH('SBA Size Standards'!$E$3,'SBA Size Standards'!$B$3:$G$3,0),FALSE)),"")</f>
        <v>N/A</v>
      </c>
      <c r="CU83" s="86">
        <f>IF($CQ83="Y",IF($CS83="Revenue","N/A",VLOOKUP($CM83,'SBA Size Standards'!$B$3:$G$57,MATCH('SBA Size Standards'!$F$3,'SBA Size Standards'!$B$3:$G$3,0),FALSE)),"")</f>
        <v>1250</v>
      </c>
      <c r="CV83" t="str">
        <f>IF($CQ83="Y",IF(OR(AND($CS83="Employment",$CL83&lt;$CU83),AND($CS83="Revenue",$CK83&lt;$CT83)),"YES","NO"),"")</f>
        <v>NO</v>
      </c>
      <c r="CW83" s="90" t="str">
        <f>IF($CQ83="Y",INDEX('SBA Size Standards'!$N$3:$N$12,MATCH($CK83,'SBA Size Standards'!$O$3:$O$12,1)),"")</f>
        <v>$100,000,001 - $1,000,000,000</v>
      </c>
      <c r="CX83" s="122" t="s">
        <v>4964</v>
      </c>
      <c r="CY83" s="122">
        <f>INDEX('NM O&amp;G Production'!$P$3:$P$537,MATCH(CX83,'NM O&amp;G Production'!$Q$3:$Q$537,0))</f>
        <v>205</v>
      </c>
      <c r="CZ83" s="122" t="str">
        <f>INDEX('NM O&amp;G Production'!$O$3:$O$537,MATCH(CY83,'NM O&amp;G Production'!$P$3:$P$537,0))</f>
        <v>No</v>
      </c>
      <c r="DA83" s="127">
        <f>INDEX('NM O&amp;G Production'!$K$3:$O$537,MATCH($CY83,'NM O&amp;G Production'!$P$3:$P$537,0),MATCH(DA$2,'NM O&amp;G Production'!$K$2:$O$2,0))</f>
        <v>0</v>
      </c>
      <c r="DB83" s="127">
        <f>INDEX('NM O&amp;G Production'!$K$3:$O$537,MATCH($CY83,'NM O&amp;G Production'!$P$3:$P$537,0),MATCH(DB$2,'NM O&amp;G Production'!$K$2:$O$2,0))</f>
        <v>0</v>
      </c>
      <c r="DC83" s="127"/>
      <c r="DD83" s="127">
        <f>INDEX('NM O&amp;G Production'!$K$3:$O$537,MATCH($CY83,'NM O&amp;G Production'!$P$3:$P$537,0),MATCH(DD$2,'NM O&amp;G Production'!$K$2:$O$2,0))</f>
        <v>0</v>
      </c>
      <c r="DE83" s="127">
        <f>INDEX('NM O&amp;G Production'!$K$3:$O$537,MATCH($CY83,'NM O&amp;G Production'!$P$3:$P$537,0),MATCH(DE$2,'NM O&amp;G Production'!$K$2:$O$2,0))</f>
        <v>0</v>
      </c>
      <c r="DF83" s="258" t="e">
        <f>CK83/(DB83+DA83)</f>
        <v>#DIV/0!</v>
      </c>
      <c r="DG83" s="57">
        <f>DD83*(12/18)*1.06*'Oil and Gas Prices'!$C$18</f>
        <v>0</v>
      </c>
      <c r="DH83" s="284">
        <f>DE83*(12/18)*'Oil and Gas Prices'!$C$4</f>
        <v>0</v>
      </c>
      <c r="DI83" s="284"/>
      <c r="DJ83" s="57" t="e">
        <f>(DG83+DH83)/(DA83+DB83)</f>
        <v>#DIV/0!</v>
      </c>
      <c r="DK83" s="18" t="e">
        <f>CK83/DI83</f>
        <v>#DIV/0!</v>
      </c>
    </row>
    <row r="84" spans="1:115" x14ac:dyDescent="0.25">
      <c r="A84" t="s">
        <v>1517</v>
      </c>
      <c r="B84" t="s">
        <v>1487</v>
      </c>
      <c r="D84" t="s">
        <v>112</v>
      </c>
      <c r="E84" t="s">
        <v>80</v>
      </c>
      <c r="F84">
        <v>77002</v>
      </c>
      <c r="G84" t="s">
        <v>62</v>
      </c>
      <c r="I84">
        <v>206</v>
      </c>
      <c r="J84" t="s">
        <v>63</v>
      </c>
      <c r="K84" t="s">
        <v>4133</v>
      </c>
      <c r="L84" t="s">
        <v>64</v>
      </c>
      <c r="M84">
        <v>10</v>
      </c>
      <c r="N84" t="s">
        <v>1518</v>
      </c>
      <c r="O84" t="s">
        <v>1515</v>
      </c>
      <c r="Q84" t="s">
        <v>1490</v>
      </c>
      <c r="R84" t="s">
        <v>112</v>
      </c>
      <c r="S84" t="s">
        <v>94</v>
      </c>
      <c r="T84" t="s">
        <v>1491</v>
      </c>
      <c r="U84" t="s">
        <v>62</v>
      </c>
      <c r="V84">
        <v>7132092400</v>
      </c>
      <c r="W84" s="1">
        <v>179673684</v>
      </c>
      <c r="X84">
        <v>18</v>
      </c>
      <c r="Y84" s="2">
        <v>1350</v>
      </c>
      <c r="Z84">
        <v>1988</v>
      </c>
      <c r="AA84" t="s">
        <v>163</v>
      </c>
      <c r="AB84" t="s">
        <v>1519</v>
      </c>
      <c r="AC84" t="s">
        <v>133</v>
      </c>
      <c r="AD84" t="s">
        <v>99</v>
      </c>
      <c r="AE84">
        <v>1311</v>
      </c>
      <c r="AF84" t="s">
        <v>100</v>
      </c>
      <c r="AG84">
        <v>1382</v>
      </c>
      <c r="AH84" t="s">
        <v>120</v>
      </c>
      <c r="AI84">
        <v>13110101</v>
      </c>
      <c r="AJ84" t="s">
        <v>102</v>
      </c>
      <c r="AK84">
        <v>13820000</v>
      </c>
      <c r="AL84" t="s">
        <v>119</v>
      </c>
      <c r="AM84">
        <v>211120</v>
      </c>
      <c r="AN84" t="s">
        <v>104</v>
      </c>
      <c r="AO84">
        <v>213112</v>
      </c>
      <c r="AP84" t="s">
        <v>74</v>
      </c>
      <c r="AQ84" t="s">
        <v>75</v>
      </c>
      <c r="AR84" t="s">
        <v>1518</v>
      </c>
      <c r="AS84" t="s">
        <v>1515</v>
      </c>
      <c r="AT84" t="s">
        <v>427</v>
      </c>
      <c r="AU84" t="s">
        <v>80</v>
      </c>
      <c r="AV84" t="s">
        <v>62</v>
      </c>
      <c r="AW84" t="s">
        <v>1518</v>
      </c>
      <c r="AX84" t="s">
        <v>1515</v>
      </c>
      <c r="AY84" t="s">
        <v>80</v>
      </c>
      <c r="AZ84" t="s">
        <v>62</v>
      </c>
      <c r="BE84" t="s">
        <v>62</v>
      </c>
      <c r="BF84">
        <v>1</v>
      </c>
      <c r="BG84">
        <v>21</v>
      </c>
      <c r="BH84" s="4" t="s">
        <v>1518</v>
      </c>
      <c r="BI84" s="4" t="s">
        <v>1515</v>
      </c>
      <c r="BK84" s="4" t="s">
        <v>1490</v>
      </c>
      <c r="BL84" s="4" t="s">
        <v>112</v>
      </c>
      <c r="BM84" s="4" t="s">
        <v>94</v>
      </c>
      <c r="BN84" s="4" t="s">
        <v>1491</v>
      </c>
      <c r="BO84" s="4" t="s">
        <v>62</v>
      </c>
      <c r="BP84" s="4">
        <v>7132092400</v>
      </c>
      <c r="BQ84" s="5">
        <v>179673684</v>
      </c>
      <c r="BR84" s="4">
        <v>18</v>
      </c>
      <c r="BS84" s="6">
        <v>1350</v>
      </c>
      <c r="BT84" s="4">
        <v>1988</v>
      </c>
      <c r="BU84" s="4" t="s">
        <v>163</v>
      </c>
      <c r="BV84" s="4" t="s">
        <v>1519</v>
      </c>
      <c r="BW84" s="4" t="s">
        <v>133</v>
      </c>
      <c r="BX84" s="4" t="s">
        <v>99</v>
      </c>
      <c r="BY84" s="4">
        <v>1311</v>
      </c>
      <c r="BZ84" s="4" t="s">
        <v>100</v>
      </c>
      <c r="CA84" s="4">
        <v>1382</v>
      </c>
      <c r="CB84" s="4" t="s">
        <v>120</v>
      </c>
      <c r="CC84" s="4">
        <v>13110101</v>
      </c>
      <c r="CD84" s="4" t="s">
        <v>102</v>
      </c>
      <c r="CE84" s="4">
        <v>13820000</v>
      </c>
      <c r="CF84" s="4" t="s">
        <v>119</v>
      </c>
      <c r="CG84" s="4">
        <v>211120</v>
      </c>
      <c r="CH84" s="4" t="s">
        <v>104</v>
      </c>
      <c r="CI84" s="4">
        <v>213112</v>
      </c>
      <c r="CJ84" s="4" t="s">
        <v>74</v>
      </c>
      <c r="CK84" s="19">
        <f>IF(BQ84&gt;0,BQ84,W84)</f>
        <v>179673684</v>
      </c>
      <c r="CL84" s="20">
        <f>IF(BS84&gt;0,BS84,Y84)</f>
        <v>1350</v>
      </c>
      <c r="CM84" s="34">
        <f>IF(CG84&gt;0,CG84,AM84)</f>
        <v>211120</v>
      </c>
      <c r="CN84" s="80">
        <f>IF($BH84="",1,COUNTIF($BH$3:$BH84,$BH84))</f>
        <v>2</v>
      </c>
      <c r="CP84" t="str">
        <f>IF($K84="Standard Match","Match",IF($K84="Name Only Match",IF($CO84="Yes","Match","Name Only Match"),"No Match"))</f>
        <v>Match</v>
      </c>
      <c r="CQ84" s="35" t="str">
        <f>IF(AND(CP84="Match",CK84&gt;0,CL84&gt;0),"Y","N")</f>
        <v>Y</v>
      </c>
      <c r="CS84" t="str">
        <f>IF($CQ84="Y",VLOOKUP($CM84,'SBA Size Standards'!$B$3:$G$57,MATCH('SBA Size Standards'!$G$3,'SBA Size Standards'!$B$3:$G$3,0),FALSE),"")</f>
        <v>Employment</v>
      </c>
      <c r="CT84" s="60" t="str">
        <f>IF(CQ84="Y",IF($CS84="Employment","N/A",VLOOKUP($CM84,'SBA Size Standards'!$B$3:$G$57,MATCH('SBA Size Standards'!$E$3,'SBA Size Standards'!$B$3:$G$3,0),FALSE)),"")</f>
        <v>N/A</v>
      </c>
      <c r="CU84" s="86">
        <f>IF($CQ84="Y",IF($CS84="Revenue","N/A",VLOOKUP($CM84,'SBA Size Standards'!$B$3:$G$57,MATCH('SBA Size Standards'!$F$3,'SBA Size Standards'!$B$3:$G$3,0),FALSE)),"")</f>
        <v>1250</v>
      </c>
      <c r="CV84" t="str">
        <f>IF($CQ84="Y",IF(OR(AND($CS84="Employment",$CL84&lt;$CU84),AND($CS84="Revenue",$CK84&lt;$CT84)),"YES","NO"),"")</f>
        <v>NO</v>
      </c>
      <c r="CW84" s="90" t="str">
        <f>IF($CQ84="Y",INDEX('SBA Size Standards'!$N$3:$N$12,MATCH($CK84,'SBA Size Standards'!$O$3:$O$12,1)),"")</f>
        <v>$100,000,001 - $1,000,000,000</v>
      </c>
      <c r="CX84" s="122" t="s">
        <v>4630</v>
      </c>
      <c r="CY84" s="122">
        <f>INDEX('NM O&amp;G Production'!$P$3:$P$537,MATCH(CX84,'NM O&amp;G Production'!$Q$3:$Q$537,0))</f>
        <v>206</v>
      </c>
      <c r="CZ84" s="122" t="str">
        <f>INDEX('NM O&amp;G Production'!$O$3:$O$537,MATCH(CY84,'NM O&amp;G Production'!$P$3:$P$537,0))</f>
        <v>Yes</v>
      </c>
      <c r="DA84" s="127">
        <f>INDEX('NM O&amp;G Production'!$K$3:$O$537,MATCH($CY84,'NM O&amp;G Production'!$P$3:$P$537,0),MATCH(DA$2,'NM O&amp;G Production'!$K$2:$O$2,0))</f>
        <v>5725</v>
      </c>
      <c r="DB84" s="127">
        <f>INDEX('NM O&amp;G Production'!$K$3:$O$537,MATCH($CY84,'NM O&amp;G Production'!$P$3:$P$537,0),MATCH(DB$2,'NM O&amp;G Production'!$K$2:$O$2,0))</f>
        <v>5641</v>
      </c>
      <c r="DC84" s="127">
        <f>DA84+DB84</f>
        <v>11366</v>
      </c>
      <c r="DD84" s="127">
        <f>INDEX('NM O&amp;G Production'!$K$3:$O$537,MATCH($CY84,'NM O&amp;G Production'!$P$3:$P$537,0),MATCH(DD$2,'NM O&amp;G Production'!$K$2:$O$2,0))</f>
        <v>479519075</v>
      </c>
      <c r="DE84" s="127">
        <f>INDEX('NM O&amp;G Production'!$K$3:$O$537,MATCH($CY84,'NM O&amp;G Production'!$P$3:$P$537,0),MATCH(DE$2,'NM O&amp;G Production'!$K$2:$O$2,0))</f>
        <v>1127605</v>
      </c>
      <c r="DF84" s="258">
        <f>CK84/(DB84+DA84)</f>
        <v>15807.996128805209</v>
      </c>
      <c r="DG84" s="57">
        <f>DD84*(12/18)*1.06*'Oil and Gas Prices'!$C$18</f>
        <v>809875749.73666668</v>
      </c>
      <c r="DH84" s="284">
        <f>DE84*(12/18)*'Oil and Gas Prices'!$C$4</f>
        <v>33828150</v>
      </c>
      <c r="DI84" s="284">
        <f>DG84+DH84</f>
        <v>843703899.73666668</v>
      </c>
      <c r="DJ84" s="57">
        <f>(DG84+DH84)/(DA84+DB84)</f>
        <v>74230.503232154384</v>
      </c>
      <c r="DK84" s="318"/>
    </row>
    <row r="85" spans="1:115" x14ac:dyDescent="0.25">
      <c r="A85" t="s">
        <v>750</v>
      </c>
      <c r="B85" t="s">
        <v>751</v>
      </c>
      <c r="D85" t="s">
        <v>153</v>
      </c>
      <c r="E85" t="s">
        <v>80</v>
      </c>
      <c r="F85">
        <v>79706</v>
      </c>
      <c r="G85" t="s">
        <v>62</v>
      </c>
      <c r="I85">
        <v>93</v>
      </c>
      <c r="J85" t="s">
        <v>404</v>
      </c>
      <c r="K85" t="s">
        <v>4133</v>
      </c>
      <c r="L85" t="s">
        <v>64</v>
      </c>
      <c r="M85">
        <v>10</v>
      </c>
      <c r="N85" t="s">
        <v>752</v>
      </c>
      <c r="O85" t="s">
        <v>753</v>
      </c>
      <c r="P85" t="s">
        <v>754</v>
      </c>
      <c r="Q85" t="s">
        <v>755</v>
      </c>
      <c r="R85" t="s">
        <v>153</v>
      </c>
      <c r="S85" t="s">
        <v>94</v>
      </c>
      <c r="T85" t="s">
        <v>756</v>
      </c>
      <c r="U85" t="s">
        <v>62</v>
      </c>
      <c r="V85">
        <v>4325631170</v>
      </c>
      <c r="W85" s="1">
        <v>122799964</v>
      </c>
      <c r="X85">
        <v>272</v>
      </c>
      <c r="Y85">
        <v>518</v>
      </c>
      <c r="AA85" t="s">
        <v>70</v>
      </c>
      <c r="AB85" t="s">
        <v>757</v>
      </c>
      <c r="AC85" t="s">
        <v>133</v>
      </c>
      <c r="AD85" t="s">
        <v>758</v>
      </c>
      <c r="AE85">
        <v>7359</v>
      </c>
      <c r="AF85" t="s">
        <v>759</v>
      </c>
      <c r="AG85">
        <v>7699</v>
      </c>
      <c r="AH85" t="s">
        <v>760</v>
      </c>
      <c r="AI85">
        <v>73599905</v>
      </c>
      <c r="AJ85" t="s">
        <v>761</v>
      </c>
      <c r="AK85">
        <v>76990500</v>
      </c>
      <c r="AL85" t="s">
        <v>762</v>
      </c>
      <c r="AM85">
        <v>532289</v>
      </c>
      <c r="AN85" t="s">
        <v>763</v>
      </c>
      <c r="AO85">
        <v>811310</v>
      </c>
      <c r="AP85" t="s">
        <v>764</v>
      </c>
      <c r="AQ85" t="s">
        <v>75</v>
      </c>
      <c r="AT85" t="s">
        <v>76</v>
      </c>
      <c r="BF85">
        <v>0</v>
      </c>
      <c r="BG85">
        <v>0</v>
      </c>
      <c r="CK85" s="19">
        <f>IF(BQ85&gt;0,BQ85,W85)</f>
        <v>122799964</v>
      </c>
      <c r="CL85" s="20">
        <f>IF(BS85&gt;0,BS85,Y85)</f>
        <v>518</v>
      </c>
      <c r="CM85" s="34">
        <f>IF(CG85&gt;0,CG85,AM85)</f>
        <v>532289</v>
      </c>
      <c r="CN85" s="80">
        <f>IF($BH85="",1,COUNTIF($BH$3:$BH85,$BH85))</f>
        <v>1</v>
      </c>
      <c r="CP85" t="str">
        <f>IF($K85="Standard Match","Match",IF($K85="Name Only Match",IF($CO85="Yes","Match","Name Only Match"),"No Match"))</f>
        <v>Match</v>
      </c>
      <c r="CQ85" s="35" t="str">
        <f>IF(AND(CP85="Match",CK85&gt;0,CL85&gt;0),"Y","N")</f>
        <v>Y</v>
      </c>
      <c r="CS85" t="str">
        <f>IF($CQ85="Y",VLOOKUP($CM85,'SBA Size Standards'!$B$3:$G$57,MATCH('SBA Size Standards'!$G$3,'SBA Size Standards'!$B$3:$G$3,0),FALSE),"")</f>
        <v>Revenue</v>
      </c>
      <c r="CT85" s="60">
        <f>IF(CQ85="Y",IF($CS85="Employment","N/A",VLOOKUP($CM85,'SBA Size Standards'!$B$3:$G$57,MATCH('SBA Size Standards'!$E$3,'SBA Size Standards'!$B$3:$G$3,0),FALSE)),"")</f>
        <v>8000000</v>
      </c>
      <c r="CU85" s="86" t="str">
        <f>IF($CQ85="Y",IF($CS85="Revenue","N/A",VLOOKUP($CM85,'SBA Size Standards'!$B$3:$G$57,MATCH('SBA Size Standards'!$F$3,'SBA Size Standards'!$B$3:$G$3,0),FALSE)),"")</f>
        <v>N/A</v>
      </c>
      <c r="CV85" t="str">
        <f>IF($CQ85="Y",IF(OR(AND($CS85="Employment",$CL85&lt;$CU85),AND($CS85="Revenue",$CK85&lt;$CT85)),"YES","NO"),"")</f>
        <v>NO</v>
      </c>
      <c r="CW85" s="90" t="str">
        <f>IF($CQ85="Y",INDEX('SBA Size Standards'!$N$3:$N$12,MATCH($CK85,'SBA Size Standards'!$O$3:$O$12,1)),"")</f>
        <v>$100,000,001 - $1,000,000,000</v>
      </c>
      <c r="CX85" s="122" t="s">
        <v>4576</v>
      </c>
      <c r="CY85" s="122">
        <f>INDEX('NM O&amp;G Production'!$P$3:$P$537,MATCH(CX85,'NM O&amp;G Production'!$Q$3:$Q$537,0))</f>
        <v>93</v>
      </c>
      <c r="CZ85" s="122" t="str">
        <f>INDEX('NM O&amp;G Production'!$O$3:$O$537,MATCH(CY85,'NM O&amp;G Production'!$P$3:$P$537,0))</f>
        <v>No</v>
      </c>
      <c r="DA85" s="127">
        <f>INDEX('NM O&amp;G Production'!$K$3:$O$537,MATCH($CY85,'NM O&amp;G Production'!$P$3:$P$537,0),MATCH(DA$2,'NM O&amp;G Production'!$K$2:$O$2,0))</f>
        <v>0</v>
      </c>
      <c r="DB85" s="127">
        <f>INDEX('NM O&amp;G Production'!$K$3:$O$537,MATCH($CY85,'NM O&amp;G Production'!$P$3:$P$537,0),MATCH(DB$2,'NM O&amp;G Production'!$K$2:$O$2,0))</f>
        <v>0</v>
      </c>
      <c r="DC85" s="127"/>
      <c r="DD85" s="127">
        <f>INDEX('NM O&amp;G Production'!$K$3:$O$537,MATCH($CY85,'NM O&amp;G Production'!$P$3:$P$537,0),MATCH(DD$2,'NM O&amp;G Production'!$K$2:$O$2,0))</f>
        <v>0</v>
      </c>
      <c r="DE85" s="127">
        <f>INDEX('NM O&amp;G Production'!$K$3:$O$537,MATCH($CY85,'NM O&amp;G Production'!$P$3:$P$537,0),MATCH(DE$2,'NM O&amp;G Production'!$K$2:$O$2,0))</f>
        <v>0</v>
      </c>
      <c r="DF85" s="258" t="e">
        <f>CK85/(DB85+DA85)</f>
        <v>#DIV/0!</v>
      </c>
      <c r="DG85" s="57">
        <f>DD85*(12/18)*1.06*'Oil and Gas Prices'!$C$18</f>
        <v>0</v>
      </c>
      <c r="DH85" s="284">
        <f>DE85*(12/18)*'Oil and Gas Prices'!$C$4</f>
        <v>0</v>
      </c>
      <c r="DI85" s="284"/>
      <c r="DJ85" s="57" t="e">
        <f>(DG85+DH85)/(DA85+DB85)</f>
        <v>#DIV/0!</v>
      </c>
      <c r="DK85" s="18" t="e">
        <f>CK85/DI85</f>
        <v>#DIV/0!</v>
      </c>
    </row>
    <row r="86" spans="1:115" x14ac:dyDescent="0.25">
      <c r="A86" t="s">
        <v>2728</v>
      </c>
      <c r="B86" t="s">
        <v>2729</v>
      </c>
      <c r="D86" t="s">
        <v>153</v>
      </c>
      <c r="E86" t="s">
        <v>80</v>
      </c>
      <c r="F86">
        <v>79702</v>
      </c>
      <c r="G86" t="s">
        <v>62</v>
      </c>
      <c r="I86">
        <v>395</v>
      </c>
      <c r="J86" t="s">
        <v>63</v>
      </c>
      <c r="K86" t="s">
        <v>4133</v>
      </c>
      <c r="L86" t="s">
        <v>149</v>
      </c>
      <c r="M86">
        <v>10</v>
      </c>
      <c r="N86" t="s">
        <v>2730</v>
      </c>
      <c r="O86" t="s">
        <v>2731</v>
      </c>
      <c r="Q86" t="s">
        <v>2732</v>
      </c>
      <c r="R86" t="s">
        <v>153</v>
      </c>
      <c r="S86" t="s">
        <v>94</v>
      </c>
      <c r="T86" t="s">
        <v>2733</v>
      </c>
      <c r="U86" t="s">
        <v>62</v>
      </c>
      <c r="V86">
        <v>4326827464</v>
      </c>
      <c r="W86" s="1">
        <v>120065361</v>
      </c>
      <c r="X86">
        <v>31</v>
      </c>
      <c r="Y86">
        <v>42</v>
      </c>
      <c r="Z86">
        <v>2004</v>
      </c>
      <c r="AA86" t="s">
        <v>163</v>
      </c>
      <c r="AB86" t="s">
        <v>2734</v>
      </c>
      <c r="AC86" t="s">
        <v>133</v>
      </c>
      <c r="AD86" t="s">
        <v>99</v>
      </c>
      <c r="AE86">
        <v>1311</v>
      </c>
      <c r="AF86" t="s">
        <v>100</v>
      </c>
      <c r="AI86">
        <v>13110101</v>
      </c>
      <c r="AJ86" t="s">
        <v>102</v>
      </c>
      <c r="AM86">
        <v>211120</v>
      </c>
      <c r="AN86" t="s">
        <v>104</v>
      </c>
      <c r="AQ86" t="s">
        <v>75</v>
      </c>
      <c r="AR86" t="s">
        <v>2730</v>
      </c>
      <c r="AS86" t="s">
        <v>2731</v>
      </c>
      <c r="AT86" t="s">
        <v>427</v>
      </c>
      <c r="AU86" t="s">
        <v>80</v>
      </c>
      <c r="AV86" t="s">
        <v>62</v>
      </c>
      <c r="AW86" t="s">
        <v>2730</v>
      </c>
      <c r="AX86" t="s">
        <v>2731</v>
      </c>
      <c r="AY86" t="s">
        <v>80</v>
      </c>
      <c r="AZ86" t="s">
        <v>62</v>
      </c>
      <c r="BE86" t="s">
        <v>62</v>
      </c>
      <c r="BF86">
        <v>1</v>
      </c>
      <c r="BG86">
        <v>3</v>
      </c>
      <c r="BH86" s="4" t="s">
        <v>2730</v>
      </c>
      <c r="BI86" s="4" t="s">
        <v>2731</v>
      </c>
      <c r="BK86" s="4" t="s">
        <v>2732</v>
      </c>
      <c r="BL86" s="4" t="s">
        <v>153</v>
      </c>
      <c r="BM86" s="4" t="s">
        <v>94</v>
      </c>
      <c r="BN86" s="4" t="s">
        <v>2733</v>
      </c>
      <c r="BO86" s="4" t="s">
        <v>62</v>
      </c>
      <c r="BP86" s="4">
        <v>4326827464</v>
      </c>
      <c r="BQ86" s="5">
        <v>120065361</v>
      </c>
      <c r="BR86" s="4">
        <v>31</v>
      </c>
      <c r="BS86" s="4">
        <v>42</v>
      </c>
      <c r="BT86" s="4">
        <v>2004</v>
      </c>
      <c r="BU86" s="4" t="s">
        <v>163</v>
      </c>
      <c r="BV86" s="4" t="s">
        <v>2734</v>
      </c>
      <c r="BW86" s="4" t="s">
        <v>133</v>
      </c>
      <c r="BX86" s="4" t="s">
        <v>99</v>
      </c>
      <c r="BY86" s="4">
        <v>1311</v>
      </c>
      <c r="BZ86" s="4" t="s">
        <v>100</v>
      </c>
      <c r="CC86" s="4">
        <v>13110101</v>
      </c>
      <c r="CD86" s="4" t="s">
        <v>102</v>
      </c>
      <c r="CG86" s="4">
        <v>211120</v>
      </c>
      <c r="CH86" s="4" t="s">
        <v>104</v>
      </c>
      <c r="CK86" s="19">
        <f>IF(BQ86&gt;0,BQ86,W86)</f>
        <v>120065361</v>
      </c>
      <c r="CL86" s="20">
        <f>IF(BS86&gt;0,BS86,Y86)</f>
        <v>42</v>
      </c>
      <c r="CM86" s="34">
        <f>IF(CG86&gt;0,CG86,AM86)</f>
        <v>211120</v>
      </c>
      <c r="CN86" s="80">
        <f>IF($BH86="",1,COUNTIF($BH$3:$BH86,$BH86))</f>
        <v>1</v>
      </c>
      <c r="CP86" t="str">
        <f>IF($K86="Standard Match","Match",IF($K86="Name Only Match",IF($CO86="Yes","Match","Name Only Match"),"No Match"))</f>
        <v>Match</v>
      </c>
      <c r="CQ86" s="35" t="str">
        <f>IF(AND(CP86="Match",CK86&gt;0,CL86&gt;0),"Y","N")</f>
        <v>Y</v>
      </c>
      <c r="CS86" t="str">
        <f>IF($CQ86="Y",VLOOKUP($CM86,'SBA Size Standards'!$B$3:$G$57,MATCH('SBA Size Standards'!$G$3,'SBA Size Standards'!$B$3:$G$3,0),FALSE),"")</f>
        <v>Employment</v>
      </c>
      <c r="CT86" s="60" t="str">
        <f>IF(CQ86="Y",IF($CS86="Employment","N/A",VLOOKUP($CM86,'SBA Size Standards'!$B$3:$G$57,MATCH('SBA Size Standards'!$E$3,'SBA Size Standards'!$B$3:$G$3,0),FALSE)),"")</f>
        <v>N/A</v>
      </c>
      <c r="CU86" s="86">
        <f>IF($CQ86="Y",IF($CS86="Revenue","N/A",VLOOKUP($CM86,'SBA Size Standards'!$B$3:$G$57,MATCH('SBA Size Standards'!$F$3,'SBA Size Standards'!$B$3:$G$3,0),FALSE)),"")</f>
        <v>1250</v>
      </c>
      <c r="CV86" t="str">
        <f>IF($CQ86="Y",IF(OR(AND($CS86="Employment",$CL86&lt;$CU86),AND($CS86="Revenue",$CK86&lt;$CT86)),"YES","NO"),"")</f>
        <v>YES</v>
      </c>
      <c r="CW86" s="90" t="str">
        <f>IF($CQ86="Y",INDEX('SBA Size Standards'!$N$3:$N$12,MATCH($CK86,'SBA Size Standards'!$O$3:$O$12,1)),"")</f>
        <v>$100,000,001 - $1,000,000,000</v>
      </c>
      <c r="CX86" s="122" t="s">
        <v>4721</v>
      </c>
      <c r="CY86" s="122">
        <f>INDEX('NM O&amp;G Production'!$P$3:$P$537,MATCH(CX86,'NM O&amp;G Production'!$Q$3:$Q$537,0))</f>
        <v>395</v>
      </c>
      <c r="CZ86" s="122" t="str">
        <f>INDEX('NM O&amp;G Production'!$O$3:$O$537,MATCH(CY86,'NM O&amp;G Production'!$P$3:$P$537,0))</f>
        <v>Yes</v>
      </c>
      <c r="DA86" s="127">
        <f>INDEX('NM O&amp;G Production'!$K$3:$O$537,MATCH($CY86,'NM O&amp;G Production'!$P$3:$P$537,0),MATCH(DA$2,'NM O&amp;G Production'!$K$2:$O$2,0))</f>
        <v>25</v>
      </c>
      <c r="DB86" s="127">
        <f>INDEX('NM O&amp;G Production'!$K$3:$O$537,MATCH($CY86,'NM O&amp;G Production'!$P$3:$P$537,0),MATCH(DB$2,'NM O&amp;G Production'!$K$2:$O$2,0))</f>
        <v>4</v>
      </c>
      <c r="DC86" s="127">
        <f>DA86+DB86</f>
        <v>29</v>
      </c>
      <c r="DD86" s="127">
        <f>INDEX('NM O&amp;G Production'!$K$3:$O$537,MATCH($CY86,'NM O&amp;G Production'!$P$3:$P$537,0),MATCH(DD$2,'NM O&amp;G Production'!$K$2:$O$2,0))</f>
        <v>178387</v>
      </c>
      <c r="DE86" s="127">
        <f>INDEX('NM O&amp;G Production'!$K$3:$O$537,MATCH($CY86,'NM O&amp;G Production'!$P$3:$P$537,0),MATCH(DE$2,'NM O&amp;G Production'!$K$2:$O$2,0))</f>
        <v>189866</v>
      </c>
      <c r="DF86" s="258">
        <f>CK86/(DB86+DA86)</f>
        <v>4140184.8620689656</v>
      </c>
      <c r="DG86" s="57">
        <f>DD86*(12/18)*1.06*'Oil and Gas Prices'!$C$18</f>
        <v>301283.75053333334</v>
      </c>
      <c r="DH86" s="284">
        <f>DE86*(12/18)*'Oil and Gas Prices'!$C$4</f>
        <v>5695980</v>
      </c>
      <c r="DI86" s="284">
        <f>DG86+DH86</f>
        <v>5997263.750533333</v>
      </c>
      <c r="DJ86" s="57">
        <f>(DG86+DH86)/(DA86+DB86)</f>
        <v>206802.19829425286</v>
      </c>
      <c r="DK86" s="318"/>
    </row>
    <row r="87" spans="1:115" x14ac:dyDescent="0.25">
      <c r="A87" t="s">
        <v>3554</v>
      </c>
      <c r="B87" t="s">
        <v>3555</v>
      </c>
      <c r="D87" t="s">
        <v>246</v>
      </c>
      <c r="E87" t="s">
        <v>80</v>
      </c>
      <c r="F87">
        <v>75024</v>
      </c>
      <c r="G87" t="s">
        <v>62</v>
      </c>
      <c r="I87">
        <v>523</v>
      </c>
      <c r="J87" t="s">
        <v>63</v>
      </c>
      <c r="K87" t="s">
        <v>4133</v>
      </c>
      <c r="L87" t="s">
        <v>64</v>
      </c>
      <c r="M87">
        <v>10</v>
      </c>
      <c r="N87" t="s">
        <v>3556</v>
      </c>
      <c r="O87" t="s">
        <v>3557</v>
      </c>
      <c r="Q87" t="s">
        <v>3558</v>
      </c>
      <c r="R87" t="s">
        <v>246</v>
      </c>
      <c r="S87" t="s">
        <v>94</v>
      </c>
      <c r="T87" t="s">
        <v>3559</v>
      </c>
      <c r="U87" t="s">
        <v>62</v>
      </c>
      <c r="V87">
        <v>2149811400</v>
      </c>
      <c r="W87" s="1">
        <v>100000000</v>
      </c>
      <c r="X87">
        <v>99</v>
      </c>
      <c r="Y87">
        <v>99</v>
      </c>
      <c r="Z87">
        <v>2011</v>
      </c>
      <c r="AA87" t="s">
        <v>70</v>
      </c>
      <c r="AB87" t="s">
        <v>3560</v>
      </c>
      <c r="AC87" t="s">
        <v>145</v>
      </c>
      <c r="AD87" t="s">
        <v>99</v>
      </c>
      <c r="AE87">
        <v>1311</v>
      </c>
      <c r="AF87" t="s">
        <v>100</v>
      </c>
      <c r="AI87">
        <v>13110101</v>
      </c>
      <c r="AJ87" t="s">
        <v>102</v>
      </c>
      <c r="AM87">
        <v>211120</v>
      </c>
      <c r="AN87" t="s">
        <v>104</v>
      </c>
      <c r="AQ87" t="s">
        <v>75</v>
      </c>
      <c r="AT87" t="s">
        <v>76</v>
      </c>
      <c r="BF87">
        <v>0</v>
      </c>
      <c r="BG87">
        <v>0</v>
      </c>
      <c r="CK87" s="19">
        <f>IF(BQ87&gt;0,BQ87,W87)</f>
        <v>100000000</v>
      </c>
      <c r="CL87" s="20">
        <f>IF(BS87&gt;0,BS87,Y87)</f>
        <v>99</v>
      </c>
      <c r="CM87" s="34">
        <f>IF(CG87&gt;0,CG87,AM87)</f>
        <v>211120</v>
      </c>
      <c r="CN87" s="80">
        <f>IF($BH87="",1,COUNTIF($BH$3:$BH87,$BH87))</f>
        <v>1</v>
      </c>
      <c r="CP87" t="str">
        <f>IF($K87="Standard Match","Match",IF($K87="Name Only Match",IF($CO87="Yes","Match","Name Only Match"),"No Match"))</f>
        <v>Match</v>
      </c>
      <c r="CQ87" s="35" t="str">
        <f>IF(AND(CP87="Match",CK87&gt;0,CL87&gt;0),"Y","N")</f>
        <v>Y</v>
      </c>
      <c r="CS87" t="str">
        <f>IF($CQ87="Y",VLOOKUP($CM87,'SBA Size Standards'!$B$3:$G$57,MATCH('SBA Size Standards'!$G$3,'SBA Size Standards'!$B$3:$G$3,0),FALSE),"")</f>
        <v>Employment</v>
      </c>
      <c r="CT87" s="60" t="str">
        <f>IF(CQ87="Y",IF($CS87="Employment","N/A",VLOOKUP($CM87,'SBA Size Standards'!$B$3:$G$57,MATCH('SBA Size Standards'!$E$3,'SBA Size Standards'!$B$3:$G$3,0),FALSE)),"")</f>
        <v>N/A</v>
      </c>
      <c r="CU87" s="86">
        <f>IF($CQ87="Y",IF($CS87="Revenue","N/A",VLOOKUP($CM87,'SBA Size Standards'!$B$3:$G$57,MATCH('SBA Size Standards'!$F$3,'SBA Size Standards'!$B$3:$G$3,0),FALSE)),"")</f>
        <v>1250</v>
      </c>
      <c r="CV87" t="str">
        <f>IF($CQ87="Y",IF(OR(AND($CS87="Employment",$CL87&lt;$CU87),AND($CS87="Revenue",$CK87&lt;$CT87)),"YES","NO"),"")</f>
        <v>YES</v>
      </c>
      <c r="CW87" s="90" t="str">
        <f>IF($CQ87="Y",INDEX('SBA Size Standards'!$N$3:$N$12,MATCH($CK87,'SBA Size Standards'!$O$3:$O$12,1)),"")</f>
        <v>$5,000,001 - $100,000,000</v>
      </c>
      <c r="CX87" s="122" t="s">
        <v>4786</v>
      </c>
      <c r="CY87" s="122">
        <f>INDEX('NM O&amp;G Production'!$P$3:$P$537,MATCH(CX87,'NM O&amp;G Production'!$Q$3:$Q$537,0))</f>
        <v>523</v>
      </c>
      <c r="CZ87" s="122" t="str">
        <f>INDEX('NM O&amp;G Production'!$O$3:$O$537,MATCH(CY87,'NM O&amp;G Production'!$P$3:$P$537,0))</f>
        <v>Yes</v>
      </c>
      <c r="DA87" s="127">
        <f>INDEX('NM O&amp;G Production'!$K$3:$O$537,MATCH($CY87,'NM O&amp;G Production'!$P$3:$P$537,0),MATCH(DA$2,'NM O&amp;G Production'!$K$2:$O$2,0))</f>
        <v>1</v>
      </c>
      <c r="DB87" s="127">
        <f>INDEX('NM O&amp;G Production'!$K$3:$O$537,MATCH($CY87,'NM O&amp;G Production'!$P$3:$P$537,0),MATCH(DB$2,'NM O&amp;G Production'!$K$2:$O$2,0))</f>
        <v>3</v>
      </c>
      <c r="DC87" s="127">
        <f>DA87+DB87</f>
        <v>4</v>
      </c>
      <c r="DD87" s="127">
        <f>INDEX('NM O&amp;G Production'!$K$3:$O$537,MATCH($CY87,'NM O&amp;G Production'!$P$3:$P$537,0),MATCH(DD$2,'NM O&amp;G Production'!$K$2:$O$2,0))</f>
        <v>8164</v>
      </c>
      <c r="DE87" s="127">
        <f>INDEX('NM O&amp;G Production'!$K$3:$O$537,MATCH($CY87,'NM O&amp;G Production'!$P$3:$P$537,0),MATCH(DE$2,'NM O&amp;G Production'!$K$2:$O$2,0))</f>
        <v>15103</v>
      </c>
      <c r="DF87" s="258">
        <f>CK87/(DB87+DA87)</f>
        <v>25000000</v>
      </c>
      <c r="DG87" s="57">
        <f>DD87*(12/18)*1.06*'Oil and Gas Prices'!$C$18</f>
        <v>13788.451733333333</v>
      </c>
      <c r="DH87" s="284">
        <f>DE87*(12/18)*'Oil and Gas Prices'!$C$4</f>
        <v>453090</v>
      </c>
      <c r="DI87" s="284">
        <f>DG87+DH87</f>
        <v>466878.45173333335</v>
      </c>
      <c r="DJ87" s="57">
        <f>(DG87+DH87)/(DA87+DB87)</f>
        <v>116719.61293333334</v>
      </c>
      <c r="DK87" s="318"/>
    </row>
    <row r="88" spans="1:115" x14ac:dyDescent="0.25">
      <c r="A88" t="s">
        <v>886</v>
      </c>
      <c r="B88" t="s">
        <v>887</v>
      </c>
      <c r="D88" t="s">
        <v>153</v>
      </c>
      <c r="E88" t="s">
        <v>80</v>
      </c>
      <c r="F88">
        <v>79701</v>
      </c>
      <c r="G88" t="s">
        <v>62</v>
      </c>
      <c r="I88">
        <v>114</v>
      </c>
      <c r="J88" t="s">
        <v>63</v>
      </c>
      <c r="K88" t="s">
        <v>4133</v>
      </c>
      <c r="L88" t="s">
        <v>64</v>
      </c>
      <c r="M88">
        <v>10</v>
      </c>
      <c r="N88" t="s">
        <v>888</v>
      </c>
      <c r="O88" t="s">
        <v>889</v>
      </c>
      <c r="P88" t="s">
        <v>890</v>
      </c>
      <c r="Q88" t="s">
        <v>891</v>
      </c>
      <c r="R88" t="s">
        <v>153</v>
      </c>
      <c r="S88" t="s">
        <v>94</v>
      </c>
      <c r="T88" t="s">
        <v>892</v>
      </c>
      <c r="U88" t="s">
        <v>62</v>
      </c>
      <c r="V88">
        <v>4326824349</v>
      </c>
      <c r="W88" s="1">
        <v>96187403</v>
      </c>
      <c r="X88">
        <v>60</v>
      </c>
      <c r="Y88">
        <v>600</v>
      </c>
      <c r="Z88">
        <v>1976</v>
      </c>
      <c r="AA88" t="s">
        <v>163</v>
      </c>
      <c r="AB88" t="s">
        <v>893</v>
      </c>
      <c r="AC88" t="s">
        <v>98</v>
      </c>
      <c r="AD88" t="s">
        <v>579</v>
      </c>
      <c r="AE88">
        <v>5411</v>
      </c>
      <c r="AF88" t="s">
        <v>580</v>
      </c>
      <c r="AG88">
        <v>4923</v>
      </c>
      <c r="AH88" t="s">
        <v>894</v>
      </c>
      <c r="AI88">
        <v>54110200</v>
      </c>
      <c r="AJ88" t="s">
        <v>895</v>
      </c>
      <c r="AK88">
        <v>49230000</v>
      </c>
      <c r="AL88" t="s">
        <v>896</v>
      </c>
      <c r="AM88">
        <v>445120</v>
      </c>
      <c r="AN88" t="s">
        <v>897</v>
      </c>
      <c r="AO88">
        <v>221210</v>
      </c>
      <c r="AP88" t="s">
        <v>166</v>
      </c>
      <c r="AQ88" t="s">
        <v>75</v>
      </c>
      <c r="AR88" t="s">
        <v>888</v>
      </c>
      <c r="AS88" t="s">
        <v>889</v>
      </c>
      <c r="AT88" t="s">
        <v>427</v>
      </c>
      <c r="AU88" t="s">
        <v>80</v>
      </c>
      <c r="AV88" t="s">
        <v>62</v>
      </c>
      <c r="AW88" t="s">
        <v>888</v>
      </c>
      <c r="AX88" t="s">
        <v>889</v>
      </c>
      <c r="AY88" t="s">
        <v>80</v>
      </c>
      <c r="AZ88" t="s">
        <v>62</v>
      </c>
      <c r="BE88" t="s">
        <v>62</v>
      </c>
      <c r="BF88">
        <v>1</v>
      </c>
      <c r="BG88">
        <v>99</v>
      </c>
      <c r="BH88" s="4" t="s">
        <v>888</v>
      </c>
      <c r="BI88" s="4" t="s">
        <v>889</v>
      </c>
      <c r="BJ88" s="4" t="s">
        <v>890</v>
      </c>
      <c r="BK88" s="4" t="s">
        <v>891</v>
      </c>
      <c r="BL88" s="4" t="s">
        <v>153</v>
      </c>
      <c r="BM88" s="4" t="s">
        <v>94</v>
      </c>
      <c r="BN88" s="4" t="s">
        <v>892</v>
      </c>
      <c r="BO88" s="4" t="s">
        <v>62</v>
      </c>
      <c r="BP88" s="4">
        <v>4326824349</v>
      </c>
      <c r="BQ88" s="5">
        <v>96187403</v>
      </c>
      <c r="BR88" s="4">
        <v>60</v>
      </c>
      <c r="BS88" s="4">
        <v>600</v>
      </c>
      <c r="BT88" s="4">
        <v>1976</v>
      </c>
      <c r="BU88" s="4" t="s">
        <v>163</v>
      </c>
      <c r="BV88" s="4" t="s">
        <v>893</v>
      </c>
      <c r="BW88" s="4" t="s">
        <v>98</v>
      </c>
      <c r="BX88" s="4" t="s">
        <v>579</v>
      </c>
      <c r="BY88" s="4">
        <v>5411</v>
      </c>
      <c r="BZ88" s="4" t="s">
        <v>580</v>
      </c>
      <c r="CA88" s="4">
        <v>4923</v>
      </c>
      <c r="CB88" s="4" t="s">
        <v>894</v>
      </c>
      <c r="CC88" s="4">
        <v>54110200</v>
      </c>
      <c r="CD88" s="4" t="s">
        <v>895</v>
      </c>
      <c r="CE88" s="4">
        <v>49230000</v>
      </c>
      <c r="CF88" s="4" t="s">
        <v>896</v>
      </c>
      <c r="CG88" s="4">
        <v>445120</v>
      </c>
      <c r="CH88" s="4" t="s">
        <v>897</v>
      </c>
      <c r="CI88" s="4">
        <v>221210</v>
      </c>
      <c r="CJ88" s="4" t="s">
        <v>166</v>
      </c>
      <c r="CK88" s="19">
        <f>IF(BQ88&gt;0,BQ88,W88)</f>
        <v>96187403</v>
      </c>
      <c r="CL88" s="20">
        <f>IF(BS88&gt;0,BS88,Y88)</f>
        <v>600</v>
      </c>
      <c r="CM88" s="34">
        <f>IF(CG88&gt;0,CG88,AM88)</f>
        <v>445120</v>
      </c>
      <c r="CN88" s="80">
        <f>IF($BH88="",1,COUNTIF($BH$3:$BH88,$BH88))</f>
        <v>1</v>
      </c>
      <c r="CP88" t="str">
        <f>IF($K88="Standard Match","Match",IF($K88="Name Only Match",IF($CO88="Yes","Match","Name Only Match"),"No Match"))</f>
        <v>Match</v>
      </c>
      <c r="CQ88" s="35" t="str">
        <f>IF(AND(CP88="Match",CK88&gt;0,CL88&gt;0),"Y","N")</f>
        <v>Y</v>
      </c>
      <c r="CS88" t="str">
        <f>IF($CQ88="Y",VLOOKUP($CM88,'SBA Size Standards'!$B$3:$G$57,MATCH('SBA Size Standards'!$G$3,'SBA Size Standards'!$B$3:$G$3,0),FALSE),"")</f>
        <v>Revenue</v>
      </c>
      <c r="CT88" s="60">
        <f>IF(CQ88="Y",IF($CS88="Employment","N/A",VLOOKUP($CM88,'SBA Size Standards'!$B$3:$G$57,MATCH('SBA Size Standards'!$E$3,'SBA Size Standards'!$B$3:$G$3,0),FALSE)),"")</f>
        <v>32000000</v>
      </c>
      <c r="CU88" s="86" t="str">
        <f>IF($CQ88="Y",IF($CS88="Revenue","N/A",VLOOKUP($CM88,'SBA Size Standards'!$B$3:$G$57,MATCH('SBA Size Standards'!$F$3,'SBA Size Standards'!$B$3:$G$3,0),FALSE)),"")</f>
        <v>N/A</v>
      </c>
      <c r="CV88" t="str">
        <f>IF($CQ88="Y",IF(OR(AND($CS88="Employment",$CL88&lt;$CU88),AND($CS88="Revenue",$CK88&lt;$CT88)),"YES","NO"),"")</f>
        <v>NO</v>
      </c>
      <c r="CW88" s="90" t="str">
        <f>IF($CQ88="Y",INDEX('SBA Size Standards'!$N$3:$N$12,MATCH($CK88,'SBA Size Standards'!$O$3:$O$12,1)),"")</f>
        <v>$5,000,001 - $100,000,000</v>
      </c>
      <c r="CX88" s="122" t="s">
        <v>4585</v>
      </c>
      <c r="CY88" s="122">
        <f>INDEX('NM O&amp;G Production'!$P$3:$P$537,MATCH(CX88,'NM O&amp;G Production'!$Q$3:$Q$537,0))</f>
        <v>114</v>
      </c>
      <c r="CZ88" s="122" t="str">
        <f>INDEX('NM O&amp;G Production'!$O$3:$O$537,MATCH(CY88,'NM O&amp;G Production'!$P$3:$P$537,0))</f>
        <v>No</v>
      </c>
      <c r="DA88" s="127">
        <f>INDEX('NM O&amp;G Production'!$K$3:$O$537,MATCH($CY88,'NM O&amp;G Production'!$P$3:$P$537,0),MATCH(DA$2,'NM O&amp;G Production'!$K$2:$O$2,0))</f>
        <v>0</v>
      </c>
      <c r="DB88" s="127">
        <f>INDEX('NM O&amp;G Production'!$K$3:$O$537,MATCH($CY88,'NM O&amp;G Production'!$P$3:$P$537,0),MATCH(DB$2,'NM O&amp;G Production'!$K$2:$O$2,0))</f>
        <v>0</v>
      </c>
      <c r="DC88" s="127"/>
      <c r="DD88" s="127">
        <f>INDEX('NM O&amp;G Production'!$K$3:$O$537,MATCH($CY88,'NM O&amp;G Production'!$P$3:$P$537,0),MATCH(DD$2,'NM O&amp;G Production'!$K$2:$O$2,0))</f>
        <v>0</v>
      </c>
      <c r="DE88" s="127">
        <f>INDEX('NM O&amp;G Production'!$K$3:$O$537,MATCH($CY88,'NM O&amp;G Production'!$P$3:$P$537,0),MATCH(DE$2,'NM O&amp;G Production'!$K$2:$O$2,0))</f>
        <v>0</v>
      </c>
      <c r="DF88" s="258" t="e">
        <f>CK88/(DB88+DA88)</f>
        <v>#DIV/0!</v>
      </c>
      <c r="DG88" s="57">
        <f>DD88*(12/18)*1.06*'Oil and Gas Prices'!$C$18</f>
        <v>0</v>
      </c>
      <c r="DH88" s="284">
        <f>DE88*(12/18)*'Oil and Gas Prices'!$C$4</f>
        <v>0</v>
      </c>
      <c r="DI88" s="284"/>
      <c r="DJ88" s="57" t="e">
        <f>(DG88+DH88)/(DA88+DB88)</f>
        <v>#DIV/0!</v>
      </c>
      <c r="DK88" s="18" t="e">
        <f>CK88/DI88</f>
        <v>#DIV/0!</v>
      </c>
    </row>
    <row r="89" spans="1:115" x14ac:dyDescent="0.25">
      <c r="A89" t="s">
        <v>3587</v>
      </c>
      <c r="B89" t="s">
        <v>3588</v>
      </c>
      <c r="D89" t="s">
        <v>153</v>
      </c>
      <c r="E89" t="s">
        <v>80</v>
      </c>
      <c r="F89">
        <v>79705</v>
      </c>
      <c r="G89" t="s">
        <v>62</v>
      </c>
      <c r="I89">
        <v>529</v>
      </c>
      <c r="J89" t="s">
        <v>63</v>
      </c>
      <c r="K89" t="s">
        <v>4133</v>
      </c>
      <c r="L89" t="s">
        <v>64</v>
      </c>
      <c r="M89">
        <v>10</v>
      </c>
      <c r="N89" t="s">
        <v>3589</v>
      </c>
      <c r="O89" t="s">
        <v>3590</v>
      </c>
      <c r="Q89" t="s">
        <v>3588</v>
      </c>
      <c r="R89" t="s">
        <v>153</v>
      </c>
      <c r="S89" t="s">
        <v>94</v>
      </c>
      <c r="T89" t="s">
        <v>3591</v>
      </c>
      <c r="U89" t="s">
        <v>62</v>
      </c>
      <c r="V89">
        <v>4326824030</v>
      </c>
      <c r="W89" s="1">
        <v>239455</v>
      </c>
      <c r="X89">
        <v>1</v>
      </c>
      <c r="Y89">
        <v>1</v>
      </c>
      <c r="Z89">
        <v>1986</v>
      </c>
      <c r="AA89" t="s">
        <v>70</v>
      </c>
      <c r="AB89" t="s">
        <v>3592</v>
      </c>
      <c r="AC89" t="s">
        <v>98</v>
      </c>
      <c r="AD89" t="s">
        <v>119</v>
      </c>
      <c r="AE89">
        <v>1382</v>
      </c>
      <c r="AF89" t="s">
        <v>120</v>
      </c>
      <c r="AI89">
        <v>13820000</v>
      </c>
      <c r="AJ89" t="s">
        <v>119</v>
      </c>
      <c r="AM89">
        <v>213112</v>
      </c>
      <c r="AN89" t="s">
        <v>74</v>
      </c>
      <c r="AQ89" t="s">
        <v>168</v>
      </c>
      <c r="AR89" t="s">
        <v>888</v>
      </c>
      <c r="AS89" t="s">
        <v>889</v>
      </c>
      <c r="AT89" t="s">
        <v>76</v>
      </c>
      <c r="AU89" t="s">
        <v>80</v>
      </c>
      <c r="AV89" t="s">
        <v>62</v>
      </c>
      <c r="AW89" t="s">
        <v>888</v>
      </c>
      <c r="AX89" t="s">
        <v>889</v>
      </c>
      <c r="AY89" t="s">
        <v>80</v>
      </c>
      <c r="AZ89" t="s">
        <v>62</v>
      </c>
      <c r="BA89" t="s">
        <v>888</v>
      </c>
      <c r="BC89" t="s">
        <v>889</v>
      </c>
      <c r="BD89" t="s">
        <v>80</v>
      </c>
      <c r="BE89" t="s">
        <v>62</v>
      </c>
      <c r="BF89">
        <v>2</v>
      </c>
      <c r="BG89">
        <v>99</v>
      </c>
      <c r="BH89" s="4" t="s">
        <v>888</v>
      </c>
      <c r="BI89" s="4" t="s">
        <v>889</v>
      </c>
      <c r="BJ89" s="4" t="s">
        <v>890</v>
      </c>
      <c r="BK89" s="4" t="s">
        <v>891</v>
      </c>
      <c r="BL89" s="4" t="s">
        <v>153</v>
      </c>
      <c r="BM89" s="4" t="s">
        <v>94</v>
      </c>
      <c r="BN89" s="4" t="s">
        <v>892</v>
      </c>
      <c r="BO89" s="4" t="s">
        <v>62</v>
      </c>
      <c r="BP89" s="4">
        <v>4326824349</v>
      </c>
      <c r="BQ89" s="5">
        <v>96187403</v>
      </c>
      <c r="BR89" s="4">
        <v>60</v>
      </c>
      <c r="BS89" s="4">
        <v>600</v>
      </c>
      <c r="BT89" s="4">
        <v>1976</v>
      </c>
      <c r="BU89" s="4" t="s">
        <v>163</v>
      </c>
      <c r="BV89" s="4" t="s">
        <v>893</v>
      </c>
      <c r="BW89" s="4" t="s">
        <v>98</v>
      </c>
      <c r="BX89" s="4" t="s">
        <v>579</v>
      </c>
      <c r="BY89" s="4">
        <v>5411</v>
      </c>
      <c r="BZ89" s="4" t="s">
        <v>580</v>
      </c>
      <c r="CA89" s="4">
        <v>4923</v>
      </c>
      <c r="CB89" s="4" t="s">
        <v>894</v>
      </c>
      <c r="CC89" s="4">
        <v>54110200</v>
      </c>
      <c r="CD89" s="4" t="s">
        <v>895</v>
      </c>
      <c r="CE89" s="4">
        <v>49230000</v>
      </c>
      <c r="CF89" s="4" t="s">
        <v>896</v>
      </c>
      <c r="CG89" s="4">
        <v>445120</v>
      </c>
      <c r="CH89" s="4" t="s">
        <v>897</v>
      </c>
      <c r="CI89" s="4">
        <v>221210</v>
      </c>
      <c r="CJ89" s="4" t="s">
        <v>166</v>
      </c>
      <c r="CK89" s="19">
        <f>IF(BQ89&gt;0,BQ89,W89)</f>
        <v>96187403</v>
      </c>
      <c r="CL89" s="20">
        <f>IF(BS89&gt;0,BS89,Y89)</f>
        <v>600</v>
      </c>
      <c r="CM89" s="34">
        <f>IF(CG89&gt;0,CG89,AM89)</f>
        <v>445120</v>
      </c>
      <c r="CN89" s="80">
        <f>IF($BH89="",1,COUNTIF($BH$3:$BH89,$BH89))</f>
        <v>2</v>
      </c>
      <c r="CP89" t="str">
        <f>IF($K89="Standard Match","Match",IF($K89="Name Only Match",IF($CO89="Yes","Match","Name Only Match"),"No Match"))</f>
        <v>Match</v>
      </c>
      <c r="CQ89" s="35" t="str">
        <f>IF(AND(CP89="Match",CK89&gt;0,CL89&gt;0),"Y","N")</f>
        <v>Y</v>
      </c>
      <c r="CS89" t="str">
        <f>IF($CQ89="Y",VLOOKUP($CM89,'SBA Size Standards'!$B$3:$G$57,MATCH('SBA Size Standards'!$G$3,'SBA Size Standards'!$B$3:$G$3,0),FALSE),"")</f>
        <v>Revenue</v>
      </c>
      <c r="CT89" s="60">
        <f>IF(CQ89="Y",IF($CS89="Employment","N/A",VLOOKUP($CM89,'SBA Size Standards'!$B$3:$G$57,MATCH('SBA Size Standards'!$E$3,'SBA Size Standards'!$B$3:$G$3,0),FALSE)),"")</f>
        <v>32000000</v>
      </c>
      <c r="CU89" s="86" t="str">
        <f>IF($CQ89="Y",IF($CS89="Revenue","N/A",VLOOKUP($CM89,'SBA Size Standards'!$B$3:$G$57,MATCH('SBA Size Standards'!$F$3,'SBA Size Standards'!$B$3:$G$3,0),FALSE)),"")</f>
        <v>N/A</v>
      </c>
      <c r="CV89" t="str">
        <f>IF($CQ89="Y",IF(OR(AND($CS89="Employment",$CL89&lt;$CU89),AND($CS89="Revenue",$CK89&lt;$CT89)),"YES","NO"),"")</f>
        <v>NO</v>
      </c>
      <c r="CW89" s="90" t="str">
        <f>IF($CQ89="Y",INDEX('SBA Size Standards'!$N$3:$N$12,MATCH($CK89,'SBA Size Standards'!$O$3:$O$12,1)),"")</f>
        <v>$5,000,001 - $100,000,000</v>
      </c>
      <c r="CX89" s="122" t="s">
        <v>4787</v>
      </c>
      <c r="CY89" s="122">
        <f>INDEX('NM O&amp;G Production'!$P$3:$P$537,MATCH(CX89,'NM O&amp;G Production'!$Q$3:$Q$537,0))</f>
        <v>529</v>
      </c>
      <c r="CZ89" s="122" t="str">
        <f>INDEX('NM O&amp;G Production'!$O$3:$O$537,MATCH(CY89,'NM O&amp;G Production'!$P$3:$P$537,0))</f>
        <v>Yes</v>
      </c>
      <c r="DA89" s="127">
        <f>INDEX('NM O&amp;G Production'!$K$3:$O$537,MATCH($CY89,'NM O&amp;G Production'!$P$3:$P$537,0),MATCH(DA$2,'NM O&amp;G Production'!$K$2:$O$2,0))</f>
        <v>0</v>
      </c>
      <c r="DB89" s="127">
        <f>INDEX('NM O&amp;G Production'!$K$3:$O$537,MATCH($CY89,'NM O&amp;G Production'!$P$3:$P$537,0),MATCH(DB$2,'NM O&amp;G Production'!$K$2:$O$2,0))</f>
        <v>1</v>
      </c>
      <c r="DC89" s="127">
        <f>DA89+DB89</f>
        <v>1</v>
      </c>
      <c r="DD89" s="127">
        <f>INDEX('NM O&amp;G Production'!$K$3:$O$537,MATCH($CY89,'NM O&amp;G Production'!$P$3:$P$537,0),MATCH(DD$2,'NM O&amp;G Production'!$K$2:$O$2,0))</f>
        <v>8684</v>
      </c>
      <c r="DE89" s="127">
        <f>INDEX('NM O&amp;G Production'!$K$3:$O$537,MATCH($CY89,'NM O&amp;G Production'!$P$3:$P$537,0),MATCH(DE$2,'NM O&amp;G Production'!$K$2:$O$2,0))</f>
        <v>1</v>
      </c>
      <c r="DF89" s="258">
        <f>CK89/(DB89+DA89)</f>
        <v>96187403</v>
      </c>
      <c r="DG89" s="57">
        <f>DD89*(12/18)*1.06*'Oil and Gas Prices'!$C$18</f>
        <v>14666.697066666668</v>
      </c>
      <c r="DH89" s="284">
        <f>DE89*(12/18)*'Oil and Gas Prices'!$C$4</f>
        <v>30</v>
      </c>
      <c r="DI89" s="284">
        <f>DG89+DH89</f>
        <v>14696.697066666668</v>
      </c>
      <c r="DJ89" s="57">
        <f>(DG89+DH89)/(DA89+DB89)</f>
        <v>14696.697066666668</v>
      </c>
      <c r="DK89" s="318"/>
    </row>
    <row r="90" spans="1:115" x14ac:dyDescent="0.25">
      <c r="A90" t="s">
        <v>3399</v>
      </c>
      <c r="B90" t="s">
        <v>3400</v>
      </c>
      <c r="D90" t="s">
        <v>1257</v>
      </c>
      <c r="E90" t="s">
        <v>80</v>
      </c>
      <c r="F90">
        <v>75711</v>
      </c>
      <c r="G90" t="s">
        <v>62</v>
      </c>
      <c r="I90">
        <v>502</v>
      </c>
      <c r="J90" t="s">
        <v>63</v>
      </c>
      <c r="K90" t="s">
        <v>4133</v>
      </c>
      <c r="L90" t="s">
        <v>149</v>
      </c>
      <c r="M90">
        <v>10</v>
      </c>
      <c r="N90" t="s">
        <v>3401</v>
      </c>
      <c r="O90" t="s">
        <v>3402</v>
      </c>
      <c r="Q90" t="s">
        <v>3403</v>
      </c>
      <c r="R90" t="s">
        <v>1257</v>
      </c>
      <c r="S90" t="s">
        <v>94</v>
      </c>
      <c r="T90" t="s">
        <v>3404</v>
      </c>
      <c r="U90" t="s">
        <v>62</v>
      </c>
      <c r="V90">
        <v>9035814382</v>
      </c>
      <c r="W90" s="1">
        <v>93274486</v>
      </c>
      <c r="X90">
        <v>40</v>
      </c>
      <c r="Y90">
        <v>100</v>
      </c>
      <c r="Z90">
        <v>1981</v>
      </c>
      <c r="AA90" t="s">
        <v>163</v>
      </c>
      <c r="AB90" t="s">
        <v>3405</v>
      </c>
      <c r="AC90" t="s">
        <v>133</v>
      </c>
      <c r="AD90" t="s">
        <v>99</v>
      </c>
      <c r="AE90">
        <v>1311</v>
      </c>
      <c r="AF90" t="s">
        <v>100</v>
      </c>
      <c r="AI90">
        <v>13110101</v>
      </c>
      <c r="AJ90" t="s">
        <v>102</v>
      </c>
      <c r="AM90">
        <v>211120</v>
      </c>
      <c r="AN90" t="s">
        <v>104</v>
      </c>
      <c r="AQ90" t="s">
        <v>75</v>
      </c>
      <c r="AR90" t="s">
        <v>3401</v>
      </c>
      <c r="AS90" t="s">
        <v>3402</v>
      </c>
      <c r="AT90" t="s">
        <v>427</v>
      </c>
      <c r="AU90" t="s">
        <v>80</v>
      </c>
      <c r="AV90" t="s">
        <v>62</v>
      </c>
      <c r="AW90" t="s">
        <v>3401</v>
      </c>
      <c r="AX90" t="s">
        <v>3402</v>
      </c>
      <c r="AY90" t="s">
        <v>80</v>
      </c>
      <c r="AZ90" t="s">
        <v>62</v>
      </c>
      <c r="BE90" t="s">
        <v>62</v>
      </c>
      <c r="BF90">
        <v>1</v>
      </c>
      <c r="BG90">
        <v>10</v>
      </c>
      <c r="BH90" s="4" t="s">
        <v>3401</v>
      </c>
      <c r="BI90" s="4" t="s">
        <v>3402</v>
      </c>
      <c r="BK90" s="4" t="s">
        <v>3403</v>
      </c>
      <c r="BL90" s="4" t="s">
        <v>1257</v>
      </c>
      <c r="BM90" s="4" t="s">
        <v>94</v>
      </c>
      <c r="BN90" s="4" t="s">
        <v>3404</v>
      </c>
      <c r="BO90" s="4" t="s">
        <v>62</v>
      </c>
      <c r="BP90" s="4">
        <v>9035814382</v>
      </c>
      <c r="BQ90" s="5">
        <v>93274486</v>
      </c>
      <c r="BR90" s="4">
        <v>40</v>
      </c>
      <c r="BS90" s="4">
        <v>100</v>
      </c>
      <c r="BT90" s="4">
        <v>1981</v>
      </c>
      <c r="BU90" s="4" t="s">
        <v>163</v>
      </c>
      <c r="BV90" s="4" t="s">
        <v>3405</v>
      </c>
      <c r="BW90" s="4" t="s">
        <v>133</v>
      </c>
      <c r="BX90" s="4" t="s">
        <v>99</v>
      </c>
      <c r="BY90" s="4">
        <v>1311</v>
      </c>
      <c r="BZ90" s="4" t="s">
        <v>100</v>
      </c>
      <c r="CC90" s="4">
        <v>13110101</v>
      </c>
      <c r="CD90" s="4" t="s">
        <v>102</v>
      </c>
      <c r="CG90" s="4">
        <v>211120</v>
      </c>
      <c r="CH90" s="4" t="s">
        <v>104</v>
      </c>
      <c r="CK90" s="19">
        <f>IF(BQ90&gt;0,BQ90,W90)</f>
        <v>93274486</v>
      </c>
      <c r="CL90" s="20">
        <f>IF(BS90&gt;0,BS90,Y90)</f>
        <v>100</v>
      </c>
      <c r="CM90" s="34">
        <f>IF(CG90&gt;0,CG90,AM90)</f>
        <v>211120</v>
      </c>
      <c r="CN90" s="80">
        <f>IF($BH90="",1,COUNTIF($BH$3:$BH90,$BH90))</f>
        <v>1</v>
      </c>
      <c r="CP90" t="str">
        <f>IF($K90="Standard Match","Match",IF($K90="Name Only Match",IF($CO90="Yes","Match","Name Only Match"),"No Match"))</f>
        <v>Match</v>
      </c>
      <c r="CQ90" s="35" t="str">
        <f>IF(AND(CP90="Match",CK90&gt;0,CL90&gt;0),"Y","N")</f>
        <v>Y</v>
      </c>
      <c r="CS90" t="str">
        <f>IF($CQ90="Y",VLOOKUP($CM90,'SBA Size Standards'!$B$3:$G$57,MATCH('SBA Size Standards'!$G$3,'SBA Size Standards'!$B$3:$G$3,0),FALSE),"")</f>
        <v>Employment</v>
      </c>
      <c r="CT90" s="60" t="str">
        <f>IF(CQ90="Y",IF($CS90="Employment","N/A",VLOOKUP($CM90,'SBA Size Standards'!$B$3:$G$57,MATCH('SBA Size Standards'!$E$3,'SBA Size Standards'!$B$3:$G$3,0),FALSE)),"")</f>
        <v>N/A</v>
      </c>
      <c r="CU90" s="86">
        <f>IF($CQ90="Y",IF($CS90="Revenue","N/A",VLOOKUP($CM90,'SBA Size Standards'!$B$3:$G$57,MATCH('SBA Size Standards'!$F$3,'SBA Size Standards'!$B$3:$G$3,0),FALSE)),"")</f>
        <v>1250</v>
      </c>
      <c r="CV90" t="str">
        <f>IF($CQ90="Y",IF(OR(AND($CS90="Employment",$CL90&lt;$CU90),AND($CS90="Revenue",$CK90&lt;$CT90)),"YES","NO"),"")</f>
        <v>YES</v>
      </c>
      <c r="CW90" s="90" t="str">
        <f>IF($CQ90="Y",INDEX('SBA Size Standards'!$N$3:$N$12,MATCH($CK90,'SBA Size Standards'!$O$3:$O$12,1)),"")</f>
        <v>$5,000,001 - $100,000,000</v>
      </c>
      <c r="CX90" s="122" t="s">
        <v>4775</v>
      </c>
      <c r="CY90" s="122">
        <f>INDEX('NM O&amp;G Production'!$P$3:$P$537,MATCH(CX90,'NM O&amp;G Production'!$Q$3:$Q$537,0))</f>
        <v>502</v>
      </c>
      <c r="CZ90" s="122" t="str">
        <f>INDEX('NM O&amp;G Production'!$O$3:$O$537,MATCH(CY90,'NM O&amp;G Production'!$P$3:$P$537,0))</f>
        <v>Yes</v>
      </c>
      <c r="DA90" s="127">
        <f>INDEX('NM O&amp;G Production'!$K$3:$O$537,MATCH($CY90,'NM O&amp;G Production'!$P$3:$P$537,0),MATCH(DA$2,'NM O&amp;G Production'!$K$2:$O$2,0))</f>
        <v>10</v>
      </c>
      <c r="DB90" s="127">
        <f>INDEX('NM O&amp;G Production'!$K$3:$O$537,MATCH($CY90,'NM O&amp;G Production'!$P$3:$P$537,0),MATCH(DB$2,'NM O&amp;G Production'!$K$2:$O$2,0))</f>
        <v>3</v>
      </c>
      <c r="DC90" s="127">
        <f>DA90+DB90</f>
        <v>13</v>
      </c>
      <c r="DD90" s="127">
        <f>INDEX('NM O&amp;G Production'!$K$3:$O$537,MATCH($CY90,'NM O&amp;G Production'!$P$3:$P$537,0),MATCH(DD$2,'NM O&amp;G Production'!$K$2:$O$2,0))</f>
        <v>252412</v>
      </c>
      <c r="DE90" s="127">
        <f>INDEX('NM O&amp;G Production'!$K$3:$O$537,MATCH($CY90,'NM O&amp;G Production'!$P$3:$P$537,0),MATCH(DE$2,'NM O&amp;G Production'!$K$2:$O$2,0))</f>
        <v>381</v>
      </c>
      <c r="DF90" s="258">
        <f>CK90/(DB90+DA90)</f>
        <v>7174960.461538462</v>
      </c>
      <c r="DG90" s="57">
        <f>DD90*(12/18)*1.06*'Oil and Gas Prices'!$C$18</f>
        <v>426307.04053333338</v>
      </c>
      <c r="DH90" s="284">
        <f>DE90*(12/18)*'Oil and Gas Prices'!$C$4</f>
        <v>11430</v>
      </c>
      <c r="DI90" s="284">
        <f>DG90+DH90</f>
        <v>437737.04053333338</v>
      </c>
      <c r="DJ90" s="57">
        <f>(DG90+DH90)/(DA90+DB90)</f>
        <v>33672.080041025642</v>
      </c>
      <c r="DK90" s="318"/>
    </row>
    <row r="91" spans="1:115" x14ac:dyDescent="0.25">
      <c r="A91" t="s">
        <v>3576</v>
      </c>
      <c r="B91" t="s">
        <v>3577</v>
      </c>
      <c r="D91" t="s">
        <v>409</v>
      </c>
      <c r="E91" t="s">
        <v>2108</v>
      </c>
      <c r="F91">
        <v>39296</v>
      </c>
      <c r="G91" t="s">
        <v>62</v>
      </c>
      <c r="I91">
        <v>527</v>
      </c>
      <c r="J91" t="s">
        <v>63</v>
      </c>
      <c r="K91" t="s">
        <v>4133</v>
      </c>
      <c r="L91" t="s">
        <v>419</v>
      </c>
      <c r="M91">
        <v>8</v>
      </c>
      <c r="N91" t="s">
        <v>2109</v>
      </c>
      <c r="O91" t="s">
        <v>2110</v>
      </c>
      <c r="Q91" t="s">
        <v>2111</v>
      </c>
      <c r="R91" t="s">
        <v>409</v>
      </c>
      <c r="S91" t="s">
        <v>2112</v>
      </c>
      <c r="T91" t="s">
        <v>2113</v>
      </c>
      <c r="U91" t="s">
        <v>62</v>
      </c>
      <c r="V91">
        <v>6019823444</v>
      </c>
      <c r="W91" s="1">
        <v>85800000</v>
      </c>
      <c r="X91">
        <v>25</v>
      </c>
      <c r="Y91">
        <v>112</v>
      </c>
      <c r="Z91">
        <v>1991</v>
      </c>
      <c r="AA91" t="s">
        <v>163</v>
      </c>
      <c r="AB91" t="s">
        <v>2114</v>
      </c>
      <c r="AC91" t="s">
        <v>98</v>
      </c>
      <c r="AD91" t="s">
        <v>99</v>
      </c>
      <c r="AE91">
        <v>1311</v>
      </c>
      <c r="AF91" t="s">
        <v>100</v>
      </c>
      <c r="AI91">
        <v>13110101</v>
      </c>
      <c r="AJ91" t="s">
        <v>102</v>
      </c>
      <c r="AM91">
        <v>211120</v>
      </c>
      <c r="AN91" t="s">
        <v>104</v>
      </c>
      <c r="AQ91" t="s">
        <v>75</v>
      </c>
      <c r="AR91" t="s">
        <v>2109</v>
      </c>
      <c r="AS91" t="s">
        <v>2110</v>
      </c>
      <c r="AT91" t="s">
        <v>427</v>
      </c>
      <c r="AU91" t="s">
        <v>2108</v>
      </c>
      <c r="AV91" t="s">
        <v>62</v>
      </c>
      <c r="AW91" t="s">
        <v>2109</v>
      </c>
      <c r="AX91" t="s">
        <v>2110</v>
      </c>
      <c r="AY91" t="s">
        <v>2108</v>
      </c>
      <c r="AZ91" t="s">
        <v>62</v>
      </c>
      <c r="BE91" t="s">
        <v>62</v>
      </c>
      <c r="BF91">
        <v>1</v>
      </c>
      <c r="BG91">
        <v>6</v>
      </c>
      <c r="BH91" s="4" t="s">
        <v>2109</v>
      </c>
      <c r="BI91" s="4" t="s">
        <v>2110</v>
      </c>
      <c r="BK91" s="4" t="s">
        <v>2111</v>
      </c>
      <c r="BL91" s="4" t="s">
        <v>409</v>
      </c>
      <c r="BM91" s="4" t="s">
        <v>2112</v>
      </c>
      <c r="BN91" s="4" t="s">
        <v>2113</v>
      </c>
      <c r="BO91" s="4" t="s">
        <v>62</v>
      </c>
      <c r="BP91" s="4">
        <v>6019823444</v>
      </c>
      <c r="BQ91" s="5">
        <v>85800000</v>
      </c>
      <c r="BR91" s="4">
        <v>25</v>
      </c>
      <c r="BS91" s="4">
        <v>112</v>
      </c>
      <c r="BT91" s="4">
        <v>1991</v>
      </c>
      <c r="BU91" s="4" t="s">
        <v>163</v>
      </c>
      <c r="BV91" s="4" t="s">
        <v>2114</v>
      </c>
      <c r="BW91" s="4" t="s">
        <v>98</v>
      </c>
      <c r="BX91" s="4" t="s">
        <v>99</v>
      </c>
      <c r="BY91" s="4">
        <v>1311</v>
      </c>
      <c r="BZ91" s="4" t="s">
        <v>100</v>
      </c>
      <c r="CC91" s="4">
        <v>13110101</v>
      </c>
      <c r="CD91" s="4" t="s">
        <v>102</v>
      </c>
      <c r="CG91" s="4">
        <v>211120</v>
      </c>
      <c r="CH91" s="4" t="s">
        <v>104</v>
      </c>
      <c r="CK91" s="19">
        <f>IF(BQ91&gt;0,BQ91,W91)</f>
        <v>85800000</v>
      </c>
      <c r="CL91" s="20">
        <f>IF(BS91&gt;0,BS91,Y91)</f>
        <v>112</v>
      </c>
      <c r="CM91" s="34">
        <f>IF(CG91&gt;0,CG91,AM91)</f>
        <v>211120</v>
      </c>
      <c r="CN91" s="80">
        <f>IF($BH91="",1,COUNTIF($BH$3:$BH91,$BH91))</f>
        <v>1</v>
      </c>
      <c r="CP91" t="str">
        <f>IF($K91="Standard Match","Match",IF($K91="Name Only Match",IF($CO91="Yes","Match","Name Only Match"),"No Match"))</f>
        <v>Match</v>
      </c>
      <c r="CQ91" s="35" t="str">
        <f>IF(AND(CP91="Match",CK91&gt;0,CL91&gt;0),"Y","N")</f>
        <v>Y</v>
      </c>
      <c r="CS91" t="str">
        <f>IF($CQ91="Y",VLOOKUP($CM91,'SBA Size Standards'!$B$3:$G$57,MATCH('SBA Size Standards'!$G$3,'SBA Size Standards'!$B$3:$G$3,0),FALSE),"")</f>
        <v>Employment</v>
      </c>
      <c r="CT91" s="60" t="str">
        <f>IF(CQ91="Y",IF($CS91="Employment","N/A",VLOOKUP($CM91,'SBA Size Standards'!$B$3:$G$57,MATCH('SBA Size Standards'!$E$3,'SBA Size Standards'!$B$3:$G$3,0),FALSE)),"")</f>
        <v>N/A</v>
      </c>
      <c r="CU91" s="86">
        <f>IF($CQ91="Y",IF($CS91="Revenue","N/A",VLOOKUP($CM91,'SBA Size Standards'!$B$3:$G$57,MATCH('SBA Size Standards'!$F$3,'SBA Size Standards'!$B$3:$G$3,0),FALSE)),"")</f>
        <v>1250</v>
      </c>
      <c r="CV91" t="str">
        <f>IF($CQ91="Y",IF(OR(AND($CS91="Employment",$CL91&lt;$CU91),AND($CS91="Revenue",$CK91&lt;$CT91)),"YES","NO"),"")</f>
        <v>YES</v>
      </c>
      <c r="CW91" s="90" t="str">
        <f>IF($CQ91="Y",INDEX('SBA Size Standards'!$N$3:$N$12,MATCH($CK91,'SBA Size Standards'!$O$3:$O$12,1)),"")</f>
        <v>$5,000,001 - $100,000,000</v>
      </c>
      <c r="CX91" s="122" t="s">
        <v>4925</v>
      </c>
      <c r="CY91" s="122">
        <f>INDEX('NM O&amp;G Production'!$P$3:$P$537,MATCH(CX91,'NM O&amp;G Production'!$Q$3:$Q$537,0))</f>
        <v>527</v>
      </c>
      <c r="CZ91" s="122" t="str">
        <f>INDEX('NM O&amp;G Production'!$O$3:$O$537,MATCH(CY91,'NM O&amp;G Production'!$P$3:$P$537,0))</f>
        <v>No</v>
      </c>
      <c r="DA91" s="127">
        <f>INDEX('NM O&amp;G Production'!$K$3:$O$537,MATCH($CY91,'NM O&amp;G Production'!$P$3:$P$537,0),MATCH(DA$2,'NM O&amp;G Production'!$K$2:$O$2,0))</f>
        <v>0</v>
      </c>
      <c r="DB91" s="127">
        <f>INDEX('NM O&amp;G Production'!$K$3:$O$537,MATCH($CY91,'NM O&amp;G Production'!$P$3:$P$537,0),MATCH(DB$2,'NM O&amp;G Production'!$K$2:$O$2,0))</f>
        <v>0</v>
      </c>
      <c r="DC91" s="127"/>
      <c r="DD91" s="127">
        <f>INDEX('NM O&amp;G Production'!$K$3:$O$537,MATCH($CY91,'NM O&amp;G Production'!$P$3:$P$537,0),MATCH(DD$2,'NM O&amp;G Production'!$K$2:$O$2,0))</f>
        <v>0</v>
      </c>
      <c r="DE91" s="127">
        <f>INDEX('NM O&amp;G Production'!$K$3:$O$537,MATCH($CY91,'NM O&amp;G Production'!$P$3:$P$537,0),MATCH(DE$2,'NM O&amp;G Production'!$K$2:$O$2,0))</f>
        <v>0</v>
      </c>
      <c r="DF91" s="258" t="e">
        <f>CK91/(DB91+DA91)</f>
        <v>#DIV/0!</v>
      </c>
      <c r="DG91" s="57">
        <f>DD91*(12/18)*1.06*'Oil and Gas Prices'!$C$18</f>
        <v>0</v>
      </c>
      <c r="DH91" s="284">
        <f>DE91*(12/18)*'Oil and Gas Prices'!$C$4</f>
        <v>0</v>
      </c>
      <c r="DI91" s="284"/>
      <c r="DJ91" s="57" t="e">
        <f>(DG91+DH91)/(DA91+DB91)</f>
        <v>#DIV/0!</v>
      </c>
      <c r="DK91" s="18" t="e">
        <f>CK91/DI91</f>
        <v>#DIV/0!</v>
      </c>
    </row>
    <row r="92" spans="1:115" x14ac:dyDescent="0.25">
      <c r="A92" t="s">
        <v>2106</v>
      </c>
      <c r="B92" t="s">
        <v>2107</v>
      </c>
      <c r="D92" t="s">
        <v>409</v>
      </c>
      <c r="E92" t="s">
        <v>2108</v>
      </c>
      <c r="F92">
        <v>39296</v>
      </c>
      <c r="G92" t="s">
        <v>62</v>
      </c>
      <c r="I92">
        <v>298</v>
      </c>
      <c r="J92" t="s">
        <v>63</v>
      </c>
      <c r="K92" t="s">
        <v>4133</v>
      </c>
      <c r="L92" t="s">
        <v>149</v>
      </c>
      <c r="M92">
        <v>10</v>
      </c>
      <c r="N92" t="s">
        <v>2109</v>
      </c>
      <c r="O92" t="s">
        <v>2110</v>
      </c>
      <c r="Q92" t="s">
        <v>2111</v>
      </c>
      <c r="R92" t="s">
        <v>409</v>
      </c>
      <c r="S92" t="s">
        <v>2112</v>
      </c>
      <c r="T92" t="s">
        <v>2113</v>
      </c>
      <c r="U92" t="s">
        <v>62</v>
      </c>
      <c r="V92">
        <v>6019823444</v>
      </c>
      <c r="W92" s="1">
        <v>85800000</v>
      </c>
      <c r="X92">
        <v>25</v>
      </c>
      <c r="Y92">
        <v>112</v>
      </c>
      <c r="Z92">
        <v>1991</v>
      </c>
      <c r="AA92" t="s">
        <v>163</v>
      </c>
      <c r="AB92" t="s">
        <v>2114</v>
      </c>
      <c r="AC92" t="s">
        <v>98</v>
      </c>
      <c r="AD92" t="s">
        <v>99</v>
      </c>
      <c r="AE92">
        <v>1311</v>
      </c>
      <c r="AF92" t="s">
        <v>100</v>
      </c>
      <c r="AI92">
        <v>13110101</v>
      </c>
      <c r="AJ92" t="s">
        <v>102</v>
      </c>
      <c r="AM92">
        <v>211120</v>
      </c>
      <c r="AN92" t="s">
        <v>104</v>
      </c>
      <c r="AQ92" t="s">
        <v>75</v>
      </c>
      <c r="AR92" t="s">
        <v>2109</v>
      </c>
      <c r="AS92" t="s">
        <v>2110</v>
      </c>
      <c r="AT92" t="s">
        <v>427</v>
      </c>
      <c r="AU92" t="s">
        <v>2108</v>
      </c>
      <c r="AV92" t="s">
        <v>62</v>
      </c>
      <c r="AW92" t="s">
        <v>2109</v>
      </c>
      <c r="AX92" t="s">
        <v>2110</v>
      </c>
      <c r="AY92" t="s">
        <v>2108</v>
      </c>
      <c r="AZ92" t="s">
        <v>62</v>
      </c>
      <c r="BE92" t="s">
        <v>62</v>
      </c>
      <c r="BF92">
        <v>1</v>
      </c>
      <c r="BG92">
        <v>6</v>
      </c>
      <c r="BH92" s="4" t="s">
        <v>2109</v>
      </c>
      <c r="BI92" s="4" t="s">
        <v>2110</v>
      </c>
      <c r="BK92" s="4" t="s">
        <v>2111</v>
      </c>
      <c r="BL92" s="4" t="s">
        <v>409</v>
      </c>
      <c r="BM92" s="4" t="s">
        <v>2112</v>
      </c>
      <c r="BN92" s="4" t="s">
        <v>2113</v>
      </c>
      <c r="BO92" s="4" t="s">
        <v>62</v>
      </c>
      <c r="BP92" s="4">
        <v>6019823444</v>
      </c>
      <c r="BQ92" s="5">
        <v>85800000</v>
      </c>
      <c r="BR92" s="4">
        <v>25</v>
      </c>
      <c r="BS92" s="4">
        <v>112</v>
      </c>
      <c r="BT92" s="4">
        <v>1991</v>
      </c>
      <c r="BU92" s="4" t="s">
        <v>163</v>
      </c>
      <c r="BV92" s="4" t="s">
        <v>2114</v>
      </c>
      <c r="BW92" s="4" t="s">
        <v>98</v>
      </c>
      <c r="BX92" s="4" t="s">
        <v>99</v>
      </c>
      <c r="BY92" s="4">
        <v>1311</v>
      </c>
      <c r="BZ92" s="4" t="s">
        <v>100</v>
      </c>
      <c r="CC92" s="4">
        <v>13110101</v>
      </c>
      <c r="CD92" s="4" t="s">
        <v>102</v>
      </c>
      <c r="CG92" s="4">
        <v>211120</v>
      </c>
      <c r="CH92" s="4" t="s">
        <v>104</v>
      </c>
      <c r="CK92" s="19">
        <f>IF(BQ92&gt;0,BQ92,W92)</f>
        <v>85800000</v>
      </c>
      <c r="CL92" s="20">
        <f>IF(BS92&gt;0,BS92,Y92)</f>
        <v>112</v>
      </c>
      <c r="CM92" s="34">
        <f>IF(CG92&gt;0,CG92,AM92)</f>
        <v>211120</v>
      </c>
      <c r="CN92" s="80">
        <f>IF($BH92="",1,COUNTIF($BH$3:$BH92,$BH92))</f>
        <v>2</v>
      </c>
      <c r="CP92" t="str">
        <f>IF($K92="Standard Match","Match",IF($K92="Name Only Match",IF($CO92="Yes","Match","Name Only Match"),"No Match"))</f>
        <v>Match</v>
      </c>
      <c r="CQ92" s="35" t="str">
        <f>IF(AND(CP92="Match",CK92&gt;0,CL92&gt;0),"Y","N")</f>
        <v>Y</v>
      </c>
      <c r="CS92" t="str">
        <f>IF($CQ92="Y",VLOOKUP($CM92,'SBA Size Standards'!$B$3:$G$57,MATCH('SBA Size Standards'!$G$3,'SBA Size Standards'!$B$3:$G$3,0),FALSE),"")</f>
        <v>Employment</v>
      </c>
      <c r="CT92" s="60" t="str">
        <f>IF(CQ92="Y",IF($CS92="Employment","N/A",VLOOKUP($CM92,'SBA Size Standards'!$B$3:$G$57,MATCH('SBA Size Standards'!$E$3,'SBA Size Standards'!$B$3:$G$3,0),FALSE)),"")</f>
        <v>N/A</v>
      </c>
      <c r="CU92" s="86">
        <f>IF($CQ92="Y",IF($CS92="Revenue","N/A",VLOOKUP($CM92,'SBA Size Standards'!$B$3:$G$57,MATCH('SBA Size Standards'!$F$3,'SBA Size Standards'!$B$3:$G$3,0),FALSE)),"")</f>
        <v>1250</v>
      </c>
      <c r="CV92" t="str">
        <f>IF($CQ92="Y",IF(OR(AND($CS92="Employment",$CL92&lt;$CU92),AND($CS92="Revenue",$CK92&lt;$CT92)),"YES","NO"),"")</f>
        <v>YES</v>
      </c>
      <c r="CW92" s="90" t="str">
        <f>IF($CQ92="Y",INDEX('SBA Size Standards'!$N$3:$N$12,MATCH($CK92,'SBA Size Standards'!$O$3:$O$12,1)),"")</f>
        <v>$5,000,001 - $100,000,000</v>
      </c>
      <c r="CX92" s="122" t="s">
        <v>4675</v>
      </c>
      <c r="CY92" s="122">
        <f>INDEX('NM O&amp;G Production'!$P$3:$P$537,MATCH(CX92,'NM O&amp;G Production'!$Q$3:$Q$537,0))</f>
        <v>298</v>
      </c>
      <c r="CZ92" s="122" t="str">
        <f>INDEX('NM O&amp;G Production'!$O$3:$O$537,MATCH(CY92,'NM O&amp;G Production'!$P$3:$P$537,0))</f>
        <v>Yes</v>
      </c>
      <c r="DA92" s="127">
        <f>INDEX('NM O&amp;G Production'!$K$3:$O$537,MATCH($CY92,'NM O&amp;G Production'!$P$3:$P$537,0),MATCH(DA$2,'NM O&amp;G Production'!$K$2:$O$2,0))</f>
        <v>6</v>
      </c>
      <c r="DB92" s="127">
        <f>INDEX('NM O&amp;G Production'!$K$3:$O$537,MATCH($CY92,'NM O&amp;G Production'!$P$3:$P$537,0),MATCH(DB$2,'NM O&amp;G Production'!$K$2:$O$2,0))</f>
        <v>14</v>
      </c>
      <c r="DC92" s="127">
        <f>DA92+DB92</f>
        <v>20</v>
      </c>
      <c r="DD92" s="127">
        <f>INDEX('NM O&amp;G Production'!$K$3:$O$537,MATCH($CY92,'NM O&amp;G Production'!$P$3:$P$537,0),MATCH(DD$2,'NM O&amp;G Production'!$K$2:$O$2,0))</f>
        <v>19309</v>
      </c>
      <c r="DE92" s="127">
        <f>INDEX('NM O&amp;G Production'!$K$3:$O$537,MATCH($CY92,'NM O&amp;G Production'!$P$3:$P$537,0),MATCH(DE$2,'NM O&amp;G Production'!$K$2:$O$2,0))</f>
        <v>81203</v>
      </c>
      <c r="DF92" s="258">
        <f>CK92/(DB92+DA92)</f>
        <v>4290000</v>
      </c>
      <c r="DG92" s="57">
        <f>DD92*(12/18)*1.06*'Oil and Gas Prices'!$C$18</f>
        <v>32611.613733333335</v>
      </c>
      <c r="DH92" s="284">
        <f>DE92*(12/18)*'Oil and Gas Prices'!$C$4</f>
        <v>2436090</v>
      </c>
      <c r="DI92" s="284">
        <f>DG92+DH92</f>
        <v>2468701.6137333335</v>
      </c>
      <c r="DJ92" s="57">
        <f>(DG92+DH92)/(DA92+DB92)</f>
        <v>123435.08068666668</v>
      </c>
      <c r="DK92" s="318"/>
    </row>
    <row r="93" spans="1:115" x14ac:dyDescent="0.25">
      <c r="A93" s="21" t="s">
        <v>2316</v>
      </c>
      <c r="B93" s="21" t="s">
        <v>2317</v>
      </c>
      <c r="C93" s="21"/>
      <c r="D93" s="21" t="s">
        <v>153</v>
      </c>
      <c r="E93" s="21" t="s">
        <v>80</v>
      </c>
      <c r="F93">
        <v>79706</v>
      </c>
      <c r="G93" t="s">
        <v>62</v>
      </c>
      <c r="I93">
        <v>327</v>
      </c>
      <c r="J93" t="s">
        <v>63</v>
      </c>
      <c r="K93" t="s">
        <v>4134</v>
      </c>
      <c r="L93" t="s">
        <v>3627</v>
      </c>
      <c r="M93">
        <v>8</v>
      </c>
      <c r="N93" t="s">
        <v>3674</v>
      </c>
      <c r="O93" s="21" t="s">
        <v>3675</v>
      </c>
      <c r="P93" s="21" t="s">
        <v>3676</v>
      </c>
      <c r="Q93" s="21" t="s">
        <v>3677</v>
      </c>
      <c r="R93" s="21" t="s">
        <v>153</v>
      </c>
      <c r="S93" s="21" t="s">
        <v>94</v>
      </c>
      <c r="T93" t="s">
        <v>3678</v>
      </c>
      <c r="U93" t="s">
        <v>62</v>
      </c>
      <c r="V93">
        <v>4322622700</v>
      </c>
      <c r="W93" s="23">
        <v>78444000</v>
      </c>
      <c r="X93" s="21">
        <v>171</v>
      </c>
      <c r="Y93" s="21">
        <v>235</v>
      </c>
      <c r="Z93">
        <v>1998</v>
      </c>
      <c r="AA93" s="21" t="s">
        <v>163</v>
      </c>
      <c r="AB93" t="s">
        <v>3679</v>
      </c>
      <c r="AC93" t="s">
        <v>165</v>
      </c>
      <c r="AD93" s="21" t="s">
        <v>71</v>
      </c>
      <c r="AE93">
        <v>1389</v>
      </c>
      <c r="AF93" t="s">
        <v>72</v>
      </c>
      <c r="AG93">
        <v>7353</v>
      </c>
      <c r="AH93" t="s">
        <v>1247</v>
      </c>
      <c r="AI93">
        <v>13899905</v>
      </c>
      <c r="AJ93" t="s">
        <v>529</v>
      </c>
      <c r="AK93">
        <v>73530101</v>
      </c>
      <c r="AL93" t="s">
        <v>1503</v>
      </c>
      <c r="AM93" s="21">
        <v>213112</v>
      </c>
      <c r="AN93" s="21" t="s">
        <v>74</v>
      </c>
      <c r="AO93" s="21">
        <v>532412</v>
      </c>
      <c r="AP93" s="21" t="s">
        <v>1251</v>
      </c>
      <c r="AQ93" s="21" t="s">
        <v>75</v>
      </c>
      <c r="AR93" t="s">
        <v>3674</v>
      </c>
      <c r="AS93" t="s">
        <v>3675</v>
      </c>
      <c r="AT93" t="s">
        <v>427</v>
      </c>
      <c r="AU93" t="s">
        <v>80</v>
      </c>
      <c r="AV93" t="s">
        <v>62</v>
      </c>
      <c r="AW93" t="s">
        <v>3674</v>
      </c>
      <c r="AX93" t="s">
        <v>3675</v>
      </c>
      <c r="AY93" t="s">
        <v>80</v>
      </c>
      <c r="AZ93" t="s">
        <v>62</v>
      </c>
      <c r="BE93" t="s">
        <v>62</v>
      </c>
      <c r="BF93">
        <v>1</v>
      </c>
      <c r="BG93" s="24">
        <v>14</v>
      </c>
      <c r="BH93" s="24" t="s">
        <v>3674</v>
      </c>
      <c r="BI93" s="24" t="s">
        <v>3675</v>
      </c>
      <c r="BJ93" s="24" t="s">
        <v>3676</v>
      </c>
      <c r="BK93" s="24" t="s">
        <v>3677</v>
      </c>
      <c r="BL93" s="24" t="s">
        <v>153</v>
      </c>
      <c r="BM93" s="24" t="s">
        <v>94</v>
      </c>
      <c r="BN93" s="24" t="s">
        <v>3678</v>
      </c>
      <c r="BO93" s="24" t="s">
        <v>62</v>
      </c>
      <c r="BP93" s="4">
        <v>4322622700</v>
      </c>
      <c r="BQ93" s="25">
        <v>78444000</v>
      </c>
      <c r="BR93" s="24">
        <v>171</v>
      </c>
      <c r="BS93" s="24">
        <v>235</v>
      </c>
      <c r="BT93" s="4">
        <v>1998</v>
      </c>
      <c r="BU93" s="24" t="s">
        <v>163</v>
      </c>
      <c r="BV93" s="4" t="s">
        <v>3679</v>
      </c>
      <c r="BW93" s="4" t="s">
        <v>165</v>
      </c>
      <c r="BX93" s="24" t="s">
        <v>71</v>
      </c>
      <c r="BY93" s="4">
        <v>1389</v>
      </c>
      <c r="BZ93" s="4" t="s">
        <v>72</v>
      </c>
      <c r="CA93" s="4">
        <v>7353</v>
      </c>
      <c r="CB93" s="4" t="s">
        <v>1247</v>
      </c>
      <c r="CC93" s="4">
        <v>13899905</v>
      </c>
      <c r="CD93" s="4" t="s">
        <v>529</v>
      </c>
      <c r="CE93" s="4">
        <v>73530101</v>
      </c>
      <c r="CF93" s="4" t="s">
        <v>1503</v>
      </c>
      <c r="CG93" s="24">
        <v>213112</v>
      </c>
      <c r="CH93" s="24" t="s">
        <v>74</v>
      </c>
      <c r="CI93" s="24">
        <v>532412</v>
      </c>
      <c r="CJ93" s="24" t="s">
        <v>1251</v>
      </c>
      <c r="CK93" s="19">
        <f>IF(BQ93&gt;0,BQ93,W93)</f>
        <v>78444000</v>
      </c>
      <c r="CL93" s="20">
        <f>IF(BS93&gt;0,BS93,Y93)</f>
        <v>235</v>
      </c>
      <c r="CM93" s="34">
        <f>IF(CG93&gt;0,CG93,AM93)</f>
        <v>213112</v>
      </c>
      <c r="CN93" s="80">
        <f>IF($BH93="",1,COUNTIF($BH$3:$BH93,$BH93))</f>
        <v>1</v>
      </c>
      <c r="CO93" s="33" t="s">
        <v>4386</v>
      </c>
      <c r="CP93" t="str">
        <f>IF($K93="Standard Match","Match",IF($K93="Name Only Match",IF($CO93="Yes","Match","Name Only Match"),"No Match"))</f>
        <v>Match</v>
      </c>
      <c r="CQ93" s="35" t="str">
        <f>IF(AND(CP93="Match",CK93&gt;0,CL93&gt;0),"Y","N")</f>
        <v>Y</v>
      </c>
      <c r="CR93" s="21"/>
      <c r="CS93" t="str">
        <f>IF($CQ93="Y",VLOOKUP($CM93,'SBA Size Standards'!$B$3:$G$57,MATCH('SBA Size Standards'!$G$3,'SBA Size Standards'!$B$3:$G$3,0),FALSE),"")</f>
        <v>Revenue</v>
      </c>
      <c r="CT93" s="60">
        <f>IF(CQ93="Y",IF($CS93="Employment","N/A",VLOOKUP($CM93,'SBA Size Standards'!$B$3:$G$57,MATCH('SBA Size Standards'!$E$3,'SBA Size Standards'!$B$3:$G$3,0),FALSE)),"")</f>
        <v>41500000</v>
      </c>
      <c r="CU93" s="86" t="str">
        <f>IF($CQ93="Y",IF($CS93="Revenue","N/A",VLOOKUP($CM93,'SBA Size Standards'!$B$3:$G$57,MATCH('SBA Size Standards'!$F$3,'SBA Size Standards'!$B$3:$G$3,0),FALSE)),"")</f>
        <v>N/A</v>
      </c>
      <c r="CV93" t="str">
        <f>IF($CQ93="Y",IF(OR(AND($CS93="Employment",$CL93&lt;$CU93),AND($CS93="Revenue",$CK93&lt;$CT93)),"YES","NO"),"")</f>
        <v>NO</v>
      </c>
      <c r="CW93" s="90" t="str">
        <f>IF($CQ93="Y",INDEX('SBA Size Standards'!$N$3:$N$12,MATCH($CK93,'SBA Size Standards'!$O$3:$O$12,1)),"")</f>
        <v>$5,000,001 - $100,000,000</v>
      </c>
      <c r="CX93" s="122" t="s">
        <v>4980</v>
      </c>
      <c r="CY93" s="122">
        <f>INDEX('NM O&amp;G Production'!$P$3:$P$537,MATCH(CX93,'NM O&amp;G Production'!$Q$3:$Q$537,0))</f>
        <v>327</v>
      </c>
      <c r="CZ93" s="122" t="str">
        <f>INDEX('NM O&amp;G Production'!$O$3:$O$537,MATCH(CY93,'NM O&amp;G Production'!$P$3:$P$537,0))</f>
        <v>No</v>
      </c>
      <c r="DA93" s="127">
        <f>INDEX('NM O&amp;G Production'!$K$3:$O$537,MATCH($CY93,'NM O&amp;G Production'!$P$3:$P$537,0),MATCH(DA$2,'NM O&amp;G Production'!$K$2:$O$2,0))</f>
        <v>0</v>
      </c>
      <c r="DB93" s="127">
        <f>INDEX('NM O&amp;G Production'!$K$3:$O$537,MATCH($CY93,'NM O&amp;G Production'!$P$3:$P$537,0),MATCH(DB$2,'NM O&amp;G Production'!$K$2:$O$2,0))</f>
        <v>0</v>
      </c>
      <c r="DC93" s="127"/>
      <c r="DD93" s="127">
        <f>INDEX('NM O&amp;G Production'!$K$3:$O$537,MATCH($CY93,'NM O&amp;G Production'!$P$3:$P$537,0),MATCH(DD$2,'NM O&amp;G Production'!$K$2:$O$2,0))</f>
        <v>0</v>
      </c>
      <c r="DE93" s="127">
        <f>INDEX('NM O&amp;G Production'!$K$3:$O$537,MATCH($CY93,'NM O&amp;G Production'!$P$3:$P$537,0),MATCH(DE$2,'NM O&amp;G Production'!$K$2:$O$2,0))</f>
        <v>0</v>
      </c>
      <c r="DF93" s="258" t="e">
        <f>CK93/(DB93+DA93)</f>
        <v>#DIV/0!</v>
      </c>
      <c r="DG93" s="57">
        <f>DD93*(12/18)*1.06*'Oil and Gas Prices'!$C$18</f>
        <v>0</v>
      </c>
      <c r="DH93" s="284">
        <f>DE93*(12/18)*'Oil and Gas Prices'!$C$4</f>
        <v>0</v>
      </c>
      <c r="DI93" s="284"/>
      <c r="DJ93" s="57" t="e">
        <f>(DG93+DH93)/(DA93+DB93)</f>
        <v>#DIV/0!</v>
      </c>
      <c r="DK93" s="18" t="e">
        <f>CK93/DI93</f>
        <v>#DIV/0!</v>
      </c>
    </row>
    <row r="94" spans="1:115" x14ac:dyDescent="0.25">
      <c r="A94" t="s">
        <v>1601</v>
      </c>
      <c r="B94" t="s">
        <v>1602</v>
      </c>
      <c r="D94" t="s">
        <v>88</v>
      </c>
      <c r="E94" t="s">
        <v>80</v>
      </c>
      <c r="F94">
        <v>76102</v>
      </c>
      <c r="G94" t="s">
        <v>62</v>
      </c>
      <c r="I94">
        <v>217</v>
      </c>
      <c r="J94" t="s">
        <v>63</v>
      </c>
      <c r="K94" t="s">
        <v>4133</v>
      </c>
      <c r="L94" t="s">
        <v>113</v>
      </c>
      <c r="M94">
        <v>8</v>
      </c>
      <c r="N94" t="s">
        <v>1603</v>
      </c>
      <c r="O94" t="s">
        <v>1604</v>
      </c>
      <c r="Q94" t="s">
        <v>1605</v>
      </c>
      <c r="R94" t="s">
        <v>88</v>
      </c>
      <c r="S94" t="s">
        <v>94</v>
      </c>
      <c r="T94" t="s">
        <v>1606</v>
      </c>
      <c r="U94" t="s">
        <v>62</v>
      </c>
      <c r="W94" s="1">
        <v>1502142</v>
      </c>
      <c r="X94">
        <v>2</v>
      </c>
      <c r="Y94">
        <v>13</v>
      </c>
      <c r="Z94">
        <v>2010</v>
      </c>
      <c r="AA94" t="s">
        <v>163</v>
      </c>
      <c r="AB94" t="s">
        <v>1607</v>
      </c>
      <c r="AC94" t="s">
        <v>145</v>
      </c>
      <c r="AD94" t="s">
        <v>119</v>
      </c>
      <c r="AE94">
        <v>1382</v>
      </c>
      <c r="AF94" t="s">
        <v>120</v>
      </c>
      <c r="AI94">
        <v>13820000</v>
      </c>
      <c r="AJ94" t="s">
        <v>119</v>
      </c>
      <c r="AM94">
        <v>213112</v>
      </c>
      <c r="AN94" t="s">
        <v>74</v>
      </c>
      <c r="AQ94" t="s">
        <v>168</v>
      </c>
      <c r="AR94" t="s">
        <v>1608</v>
      </c>
      <c r="AS94" t="s">
        <v>1609</v>
      </c>
      <c r="AT94" t="s">
        <v>76</v>
      </c>
      <c r="AU94" t="s">
        <v>80</v>
      </c>
      <c r="AV94" t="s">
        <v>62</v>
      </c>
      <c r="AW94" t="s">
        <v>1608</v>
      </c>
      <c r="AX94" t="s">
        <v>1609</v>
      </c>
      <c r="AY94" t="s">
        <v>80</v>
      </c>
      <c r="AZ94" t="s">
        <v>62</v>
      </c>
      <c r="BA94" t="s">
        <v>1610</v>
      </c>
      <c r="BC94" t="s">
        <v>1611</v>
      </c>
      <c r="BD94" t="s">
        <v>80</v>
      </c>
      <c r="BE94" t="s">
        <v>62</v>
      </c>
      <c r="BF94">
        <v>3</v>
      </c>
      <c r="BG94">
        <v>6</v>
      </c>
      <c r="BH94" s="4" t="s">
        <v>1608</v>
      </c>
      <c r="BI94" s="4" t="s">
        <v>1609</v>
      </c>
      <c r="BJ94" s="4" t="s">
        <v>4278</v>
      </c>
      <c r="BK94" s="4" t="s">
        <v>4279</v>
      </c>
      <c r="BL94" s="4" t="s">
        <v>88</v>
      </c>
      <c r="BM94" s="4" t="s">
        <v>94</v>
      </c>
      <c r="BN94" s="4" t="s">
        <v>4280</v>
      </c>
      <c r="BO94" s="4" t="s">
        <v>62</v>
      </c>
      <c r="BP94" s="4">
        <v>8175859001</v>
      </c>
      <c r="BQ94" s="5">
        <v>66063000</v>
      </c>
      <c r="BR94" s="4">
        <v>17</v>
      </c>
      <c r="BS94" s="4">
        <v>39</v>
      </c>
      <c r="BT94" s="4">
        <v>2007</v>
      </c>
      <c r="BU94" s="4" t="s">
        <v>163</v>
      </c>
      <c r="BV94" s="4" t="s">
        <v>1607</v>
      </c>
      <c r="BW94" s="4" t="s">
        <v>133</v>
      </c>
      <c r="BX94" s="4" t="s">
        <v>119</v>
      </c>
      <c r="BY94" s="4">
        <v>1382</v>
      </c>
      <c r="BZ94" s="4" t="s">
        <v>120</v>
      </c>
      <c r="CC94" s="4">
        <v>13820000</v>
      </c>
      <c r="CD94" s="4" t="s">
        <v>119</v>
      </c>
      <c r="CG94" s="4">
        <v>213112</v>
      </c>
      <c r="CH94" s="4" t="s">
        <v>74</v>
      </c>
      <c r="CK94" s="19">
        <f>IF(BQ94&gt;0,BQ94,W94)</f>
        <v>66063000</v>
      </c>
      <c r="CL94" s="20">
        <f>IF(BS94&gt;0,BS94,Y94)</f>
        <v>39</v>
      </c>
      <c r="CM94" s="34">
        <f>IF(CG94&gt;0,CG94,AM94)</f>
        <v>213112</v>
      </c>
      <c r="CN94" s="80">
        <f>IF($BH94="",1,COUNTIF($BH$3:$BH94,$BH94))</f>
        <v>1</v>
      </c>
      <c r="CP94" t="str">
        <f>IF($K94="Standard Match","Match",IF($K94="Name Only Match",IF($CO94="Yes","Match","Name Only Match"),"No Match"))</f>
        <v>Match</v>
      </c>
      <c r="CQ94" s="35" t="str">
        <f>IF(AND(CP94="Match",CK94&gt;0,CL94&gt;0),"Y","N")</f>
        <v>Y</v>
      </c>
      <c r="CS94" t="str">
        <f>IF($CQ94="Y",VLOOKUP($CM94,'SBA Size Standards'!$B$3:$G$57,MATCH('SBA Size Standards'!$G$3,'SBA Size Standards'!$B$3:$G$3,0),FALSE),"")</f>
        <v>Revenue</v>
      </c>
      <c r="CT94" s="60">
        <f>IF(CQ94="Y",IF($CS94="Employment","N/A",VLOOKUP($CM94,'SBA Size Standards'!$B$3:$G$57,MATCH('SBA Size Standards'!$E$3,'SBA Size Standards'!$B$3:$G$3,0),FALSE)),"")</f>
        <v>41500000</v>
      </c>
      <c r="CU94" s="86" t="str">
        <f>IF($CQ94="Y",IF($CS94="Revenue","N/A",VLOOKUP($CM94,'SBA Size Standards'!$B$3:$G$57,MATCH('SBA Size Standards'!$F$3,'SBA Size Standards'!$B$3:$G$3,0),FALSE)),"")</f>
        <v>N/A</v>
      </c>
      <c r="CV94" t="str">
        <f>IF($CQ94="Y",IF(OR(AND($CS94="Employment",$CL94&lt;$CU94),AND($CS94="Revenue",$CK94&lt;$CT94)),"YES","NO"),"")</f>
        <v>NO</v>
      </c>
      <c r="CW94" s="90" t="str">
        <f>IF($CQ94="Y",INDEX('SBA Size Standards'!$N$3:$N$12,MATCH($CK94,'SBA Size Standards'!$O$3:$O$12,1)),"")</f>
        <v>$5,000,001 - $100,000,000</v>
      </c>
      <c r="CX94" s="122" t="s">
        <v>4851</v>
      </c>
      <c r="CY94" s="122">
        <f>INDEX('NM O&amp;G Production'!$P$3:$P$537,MATCH(CX94,'NM O&amp;G Production'!$Q$3:$Q$537,0))</f>
        <v>217</v>
      </c>
      <c r="CZ94" s="122" t="str">
        <f>INDEX('NM O&amp;G Production'!$O$3:$O$537,MATCH(CY94,'NM O&amp;G Production'!$P$3:$P$537,0))</f>
        <v>Yes</v>
      </c>
      <c r="DA94" s="127">
        <f>INDEX('NM O&amp;G Production'!$K$3:$O$537,MATCH($CY94,'NM O&amp;G Production'!$P$3:$P$537,0),MATCH(DA$2,'NM O&amp;G Production'!$K$2:$O$2,0))</f>
        <v>4</v>
      </c>
      <c r="DB94" s="127">
        <f>INDEX('NM O&amp;G Production'!$K$3:$O$537,MATCH($CY94,'NM O&amp;G Production'!$P$3:$P$537,0),MATCH(DB$2,'NM O&amp;G Production'!$K$2:$O$2,0))</f>
        <v>0</v>
      </c>
      <c r="DC94" s="127">
        <f>DA94+DB94</f>
        <v>4</v>
      </c>
      <c r="DD94" s="127">
        <f>INDEX('NM O&amp;G Production'!$K$3:$O$537,MATCH($CY94,'NM O&amp;G Production'!$P$3:$P$537,0),MATCH(DD$2,'NM O&amp;G Production'!$K$2:$O$2,0))</f>
        <v>1072563</v>
      </c>
      <c r="DE94" s="127">
        <f>INDEX('NM O&amp;G Production'!$K$3:$O$537,MATCH($CY94,'NM O&amp;G Production'!$P$3:$P$537,0),MATCH(DE$2,'NM O&amp;G Production'!$K$2:$O$2,0))</f>
        <v>233492</v>
      </c>
      <c r="DF94" s="258">
        <f>CK94/(DB94+DA94)</f>
        <v>16515750</v>
      </c>
      <c r="DG94" s="57">
        <f>DD94*(12/18)*1.06*'Oil and Gas Prices'!$C$18</f>
        <v>1811487.4028</v>
      </c>
      <c r="DH94" s="284">
        <f>DE94*(12/18)*'Oil and Gas Prices'!$C$4</f>
        <v>7004759.9999999991</v>
      </c>
      <c r="DI94" s="284">
        <f>DG94+DH94</f>
        <v>8816247.4027999993</v>
      </c>
      <c r="DJ94" s="57">
        <f>(DG94+DH94)/(DA94+DB94)</f>
        <v>2204061.8506999998</v>
      </c>
      <c r="DK94" s="318"/>
    </row>
    <row r="95" spans="1:115" x14ac:dyDescent="0.25">
      <c r="A95" t="s">
        <v>3484</v>
      </c>
      <c r="B95" t="s">
        <v>3485</v>
      </c>
      <c r="D95" t="s">
        <v>3486</v>
      </c>
      <c r="E95" t="s">
        <v>80</v>
      </c>
      <c r="F95">
        <v>76102</v>
      </c>
      <c r="G95" t="s">
        <v>62</v>
      </c>
      <c r="I95">
        <v>513</v>
      </c>
      <c r="J95" t="s">
        <v>63</v>
      </c>
      <c r="K95" t="s">
        <v>4133</v>
      </c>
      <c r="L95" t="s">
        <v>64</v>
      </c>
      <c r="M95">
        <v>10</v>
      </c>
      <c r="N95" t="s">
        <v>3487</v>
      </c>
      <c r="O95" t="s">
        <v>3488</v>
      </c>
      <c r="Q95" t="s">
        <v>3489</v>
      </c>
      <c r="R95" t="s">
        <v>88</v>
      </c>
      <c r="S95" t="s">
        <v>94</v>
      </c>
      <c r="T95" t="s">
        <v>3490</v>
      </c>
      <c r="U95" t="s">
        <v>62</v>
      </c>
      <c r="V95">
        <v>8173355417</v>
      </c>
      <c r="W95" s="1">
        <v>63232272</v>
      </c>
      <c r="X95">
        <v>85</v>
      </c>
      <c r="Y95">
        <v>155</v>
      </c>
      <c r="Z95">
        <v>1945</v>
      </c>
      <c r="AA95" t="s">
        <v>163</v>
      </c>
      <c r="AB95" t="s">
        <v>3491</v>
      </c>
      <c r="AC95" t="s">
        <v>98</v>
      </c>
      <c r="AD95" t="s">
        <v>99</v>
      </c>
      <c r="AE95">
        <v>1311</v>
      </c>
      <c r="AF95" t="s">
        <v>100</v>
      </c>
      <c r="AI95">
        <v>13110101</v>
      </c>
      <c r="AJ95" t="s">
        <v>102</v>
      </c>
      <c r="AM95">
        <v>211120</v>
      </c>
      <c r="AN95" t="s">
        <v>104</v>
      </c>
      <c r="AQ95" t="s">
        <v>75</v>
      </c>
      <c r="AR95" t="s">
        <v>3487</v>
      </c>
      <c r="AS95" t="s">
        <v>3488</v>
      </c>
      <c r="AT95" t="s">
        <v>427</v>
      </c>
      <c r="AU95" t="s">
        <v>80</v>
      </c>
      <c r="AV95" t="s">
        <v>62</v>
      </c>
      <c r="AW95" t="s">
        <v>3487</v>
      </c>
      <c r="AX95" t="s">
        <v>3488</v>
      </c>
      <c r="AY95" t="s">
        <v>80</v>
      </c>
      <c r="AZ95" t="s">
        <v>62</v>
      </c>
      <c r="BE95" t="s">
        <v>62</v>
      </c>
      <c r="BF95">
        <v>1</v>
      </c>
      <c r="BG95">
        <v>8</v>
      </c>
      <c r="BH95" s="4" t="s">
        <v>3487</v>
      </c>
      <c r="BI95" s="4" t="s">
        <v>3488</v>
      </c>
      <c r="BK95" s="4" t="s">
        <v>3489</v>
      </c>
      <c r="BL95" s="4" t="s">
        <v>88</v>
      </c>
      <c r="BM95" s="4" t="s">
        <v>94</v>
      </c>
      <c r="BN95" s="4" t="s">
        <v>3490</v>
      </c>
      <c r="BO95" s="4" t="s">
        <v>62</v>
      </c>
      <c r="BP95" s="4">
        <v>8173355417</v>
      </c>
      <c r="BQ95" s="5">
        <v>63232272</v>
      </c>
      <c r="BR95" s="4">
        <v>85</v>
      </c>
      <c r="BS95" s="4">
        <v>155</v>
      </c>
      <c r="BT95" s="4">
        <v>1945</v>
      </c>
      <c r="BU95" s="4" t="s">
        <v>163</v>
      </c>
      <c r="BV95" s="4" t="s">
        <v>3491</v>
      </c>
      <c r="BW95" s="4" t="s">
        <v>98</v>
      </c>
      <c r="BX95" s="4" t="s">
        <v>99</v>
      </c>
      <c r="BY95" s="4">
        <v>1311</v>
      </c>
      <c r="BZ95" s="4" t="s">
        <v>100</v>
      </c>
      <c r="CC95" s="4">
        <v>13110101</v>
      </c>
      <c r="CD95" s="4" t="s">
        <v>102</v>
      </c>
      <c r="CG95" s="4">
        <v>211120</v>
      </c>
      <c r="CH95" s="4" t="s">
        <v>104</v>
      </c>
      <c r="CK95" s="19">
        <f>IF(BQ95&gt;0,BQ95,W95)</f>
        <v>63232272</v>
      </c>
      <c r="CL95" s="20">
        <f>IF(BS95&gt;0,BS95,Y95)</f>
        <v>155</v>
      </c>
      <c r="CM95" s="34">
        <f>IF(CG95&gt;0,CG95,AM95)</f>
        <v>211120</v>
      </c>
      <c r="CN95" s="80">
        <f>IF($BH95="",1,COUNTIF($BH$3:$BH95,$BH95))</f>
        <v>1</v>
      </c>
      <c r="CP95" t="str">
        <f>IF($K95="Standard Match","Match",IF($K95="Name Only Match",IF($CO95="Yes","Match","Name Only Match"),"No Match"))</f>
        <v>Match</v>
      </c>
      <c r="CQ95" s="35" t="str">
        <f>IF(AND(CP95="Match",CK95&gt;0,CL95&gt;0),"Y","N")</f>
        <v>Y</v>
      </c>
      <c r="CS95" t="str">
        <f>IF($CQ95="Y",VLOOKUP($CM95,'SBA Size Standards'!$B$3:$G$57,MATCH('SBA Size Standards'!$G$3,'SBA Size Standards'!$B$3:$G$3,0),FALSE),"")</f>
        <v>Employment</v>
      </c>
      <c r="CT95" s="60" t="str">
        <f>IF(CQ95="Y",IF($CS95="Employment","N/A",VLOOKUP($CM95,'SBA Size Standards'!$B$3:$G$57,MATCH('SBA Size Standards'!$E$3,'SBA Size Standards'!$B$3:$G$3,0),FALSE)),"")</f>
        <v>N/A</v>
      </c>
      <c r="CU95" s="86">
        <f>IF($CQ95="Y",IF($CS95="Revenue","N/A",VLOOKUP($CM95,'SBA Size Standards'!$B$3:$G$57,MATCH('SBA Size Standards'!$F$3,'SBA Size Standards'!$B$3:$G$3,0),FALSE)),"")</f>
        <v>1250</v>
      </c>
      <c r="CV95" t="str">
        <f>IF($CQ95="Y",IF(OR(AND($CS95="Employment",$CL95&lt;$CU95),AND($CS95="Revenue",$CK95&lt;$CT95)),"YES","NO"),"")</f>
        <v>YES</v>
      </c>
      <c r="CW95" s="90" t="str">
        <f>IF($CQ95="Y",INDEX('SBA Size Standards'!$N$3:$N$12,MATCH($CK95,'SBA Size Standards'!$O$3:$O$12,1)),"")</f>
        <v>$5,000,001 - $100,000,000</v>
      </c>
      <c r="CX95" s="122" t="s">
        <v>4781</v>
      </c>
      <c r="CY95" s="122">
        <f>INDEX('NM O&amp;G Production'!$P$3:$P$537,MATCH(CX95,'NM O&amp;G Production'!$Q$3:$Q$537,0))</f>
        <v>513</v>
      </c>
      <c r="CZ95" s="122" t="str">
        <f>INDEX('NM O&amp;G Production'!$O$3:$O$537,MATCH(CY95,'NM O&amp;G Production'!$P$3:$P$537,0))</f>
        <v>yes</v>
      </c>
      <c r="DA95" s="127">
        <f>INDEX('NM O&amp;G Production'!$K$3:$O$537,MATCH($CY95,'NM O&amp;G Production'!$P$3:$P$537,0),MATCH(DA$2,'NM O&amp;G Production'!$K$2:$O$2,0))</f>
        <v>0</v>
      </c>
      <c r="DB95" s="127">
        <f>INDEX('NM O&amp;G Production'!$K$3:$O$537,MATCH($CY95,'NM O&amp;G Production'!$P$3:$P$537,0),MATCH(DB$2,'NM O&amp;G Production'!$K$2:$O$2,0))</f>
        <v>7</v>
      </c>
      <c r="DC95" s="127">
        <f>DA95+DB95</f>
        <v>7</v>
      </c>
      <c r="DD95" s="127">
        <f>INDEX('NM O&amp;G Production'!$K$3:$O$537,MATCH($CY95,'NM O&amp;G Production'!$P$3:$P$537,0),MATCH(DD$2,'NM O&amp;G Production'!$K$2:$O$2,0))</f>
        <v>0</v>
      </c>
      <c r="DE95" s="127">
        <f>INDEX('NM O&amp;G Production'!$K$3:$O$537,MATCH($CY95,'NM O&amp;G Production'!$P$3:$P$537,0),MATCH(DE$2,'NM O&amp;G Production'!$K$2:$O$2,0))</f>
        <v>2058</v>
      </c>
      <c r="DF95" s="258">
        <f>CK95/(DB95+DA95)</f>
        <v>9033181.7142857146</v>
      </c>
      <c r="DG95" s="57">
        <f>DD95*(12/18)*1.06*'Oil and Gas Prices'!$C$18</f>
        <v>0</v>
      </c>
      <c r="DH95" s="284">
        <f>DE95*(12/18)*'Oil and Gas Prices'!$C$4</f>
        <v>61740</v>
      </c>
      <c r="DI95" s="284">
        <f>DG95+DH95</f>
        <v>61740</v>
      </c>
      <c r="DJ95" s="57">
        <f>(DG95+DH95)/(DA95+DB95)</f>
        <v>8820</v>
      </c>
      <c r="DK95" s="318"/>
    </row>
    <row r="96" spans="1:115" x14ac:dyDescent="0.25">
      <c r="A96" t="s">
        <v>2402</v>
      </c>
      <c r="B96" t="s">
        <v>2403</v>
      </c>
      <c r="D96" t="s">
        <v>153</v>
      </c>
      <c r="E96" t="s">
        <v>80</v>
      </c>
      <c r="F96">
        <v>79705</v>
      </c>
      <c r="G96" t="s">
        <v>62</v>
      </c>
      <c r="I96">
        <v>342</v>
      </c>
      <c r="J96" t="s">
        <v>63</v>
      </c>
      <c r="K96" t="s">
        <v>4133</v>
      </c>
      <c r="L96" t="s">
        <v>64</v>
      </c>
      <c r="M96">
        <v>10</v>
      </c>
      <c r="N96" t="s">
        <v>2404</v>
      </c>
      <c r="O96" t="s">
        <v>2402</v>
      </c>
      <c r="Q96" t="s">
        <v>2405</v>
      </c>
      <c r="R96" t="s">
        <v>153</v>
      </c>
      <c r="S96" t="s">
        <v>94</v>
      </c>
      <c r="T96" t="s">
        <v>2406</v>
      </c>
      <c r="U96" t="s">
        <v>62</v>
      </c>
      <c r="V96">
        <v>4326844272</v>
      </c>
      <c r="W96" s="1">
        <v>56382191</v>
      </c>
      <c r="X96">
        <v>2</v>
      </c>
      <c r="Y96">
        <v>2</v>
      </c>
      <c r="Z96">
        <v>2018</v>
      </c>
      <c r="AA96" t="s">
        <v>70</v>
      </c>
      <c r="AD96" t="s">
        <v>119</v>
      </c>
      <c r="AE96">
        <v>1382</v>
      </c>
      <c r="AF96" t="s">
        <v>120</v>
      </c>
      <c r="AI96">
        <v>13820000</v>
      </c>
      <c r="AJ96" t="s">
        <v>119</v>
      </c>
      <c r="AM96">
        <v>213112</v>
      </c>
      <c r="AN96" t="s">
        <v>74</v>
      </c>
      <c r="AQ96" t="s">
        <v>75</v>
      </c>
      <c r="AT96" t="s">
        <v>76</v>
      </c>
      <c r="BF96">
        <v>0</v>
      </c>
      <c r="BG96">
        <v>0</v>
      </c>
      <c r="CK96" s="19">
        <f>IF(BQ96&gt;0,BQ96,W96)</f>
        <v>56382191</v>
      </c>
      <c r="CL96" s="20">
        <f>IF(BS96&gt;0,BS96,Y96)</f>
        <v>2</v>
      </c>
      <c r="CM96" s="34">
        <f>IF(CG96&gt;0,CG96,AM96)</f>
        <v>213112</v>
      </c>
      <c r="CN96" s="80">
        <f>IF($BH96="",1,COUNTIF($BH$3:$BH96,$BH96))</f>
        <v>1</v>
      </c>
      <c r="CP96" t="str">
        <f>IF($K96="Standard Match","Match",IF($K96="Name Only Match",IF($CO96="Yes","Match","Name Only Match"),"No Match"))</f>
        <v>Match</v>
      </c>
      <c r="CQ96" s="35" t="str">
        <f>IF(AND(CP96="Match",CK96&gt;0,CL96&gt;0),"Y","N")</f>
        <v>Y</v>
      </c>
      <c r="CS96" t="str">
        <f>IF($CQ96="Y",VLOOKUP($CM96,'SBA Size Standards'!$B$3:$G$57,MATCH('SBA Size Standards'!$G$3,'SBA Size Standards'!$B$3:$G$3,0),FALSE),"")</f>
        <v>Revenue</v>
      </c>
      <c r="CT96" s="60">
        <f>IF(CQ96="Y",IF($CS96="Employment","N/A",VLOOKUP($CM96,'SBA Size Standards'!$B$3:$G$57,MATCH('SBA Size Standards'!$E$3,'SBA Size Standards'!$B$3:$G$3,0),FALSE)),"")</f>
        <v>41500000</v>
      </c>
      <c r="CU96" s="86" t="str">
        <f>IF($CQ96="Y",IF($CS96="Revenue","N/A",VLOOKUP($CM96,'SBA Size Standards'!$B$3:$G$57,MATCH('SBA Size Standards'!$F$3,'SBA Size Standards'!$B$3:$G$3,0),FALSE)),"")</f>
        <v>N/A</v>
      </c>
      <c r="CV96" t="str">
        <f>IF($CQ96="Y",IF(OR(AND($CS96="Employment",$CL96&lt;$CU96),AND($CS96="Revenue",$CK96&lt;$CT96)),"YES","NO"),"")</f>
        <v>NO</v>
      </c>
      <c r="CW96" s="90" t="str">
        <f>IF($CQ96="Y",INDEX('SBA Size Standards'!$N$3:$N$12,MATCH($CK96,'SBA Size Standards'!$O$3:$O$12,1)),"")</f>
        <v>$5,000,001 - $100,000,000</v>
      </c>
      <c r="CX96" s="122" t="s">
        <v>4692</v>
      </c>
      <c r="CY96" s="122">
        <f>INDEX('NM O&amp;G Production'!$P$3:$P$537,MATCH(CX96,'NM O&amp;G Production'!$Q$3:$Q$537,0))</f>
        <v>342</v>
      </c>
      <c r="CZ96" s="122" t="str">
        <f>INDEX('NM O&amp;G Production'!$O$3:$O$537,MATCH(CY96,'NM O&amp;G Production'!$P$3:$P$537,0))</f>
        <v>No</v>
      </c>
      <c r="DA96" s="127">
        <f>INDEX('NM O&amp;G Production'!$K$3:$O$537,MATCH($CY96,'NM O&amp;G Production'!$P$3:$P$537,0),MATCH(DA$2,'NM O&amp;G Production'!$K$2:$O$2,0))</f>
        <v>0</v>
      </c>
      <c r="DB96" s="127">
        <f>INDEX('NM O&amp;G Production'!$K$3:$O$537,MATCH($CY96,'NM O&amp;G Production'!$P$3:$P$537,0),MATCH(DB$2,'NM O&amp;G Production'!$K$2:$O$2,0))</f>
        <v>0</v>
      </c>
      <c r="DC96" s="127"/>
      <c r="DD96" s="127">
        <f>INDEX('NM O&amp;G Production'!$K$3:$O$537,MATCH($CY96,'NM O&amp;G Production'!$P$3:$P$537,0),MATCH(DD$2,'NM O&amp;G Production'!$K$2:$O$2,0))</f>
        <v>0</v>
      </c>
      <c r="DE96" s="127">
        <f>INDEX('NM O&amp;G Production'!$K$3:$O$537,MATCH($CY96,'NM O&amp;G Production'!$P$3:$P$537,0),MATCH(DE$2,'NM O&amp;G Production'!$K$2:$O$2,0))</f>
        <v>0</v>
      </c>
      <c r="DF96" s="258" t="e">
        <f>CK96/(DB96+DA96)</f>
        <v>#DIV/0!</v>
      </c>
      <c r="DG96" s="57">
        <f>DD96*(12/18)*1.06*'Oil and Gas Prices'!$C$18</f>
        <v>0</v>
      </c>
      <c r="DH96" s="284">
        <f>DE96*(12/18)*'Oil and Gas Prices'!$C$4</f>
        <v>0</v>
      </c>
      <c r="DI96" s="284"/>
      <c r="DJ96" s="57" t="e">
        <f>(DG96+DH96)/(DA96+DB96)</f>
        <v>#DIV/0!</v>
      </c>
      <c r="DK96" s="18" t="e">
        <f>CK96/DI96</f>
        <v>#DIV/0!</v>
      </c>
    </row>
    <row r="97" spans="1:115" x14ac:dyDescent="0.25">
      <c r="A97" t="s">
        <v>110</v>
      </c>
      <c r="B97" t="s">
        <v>111</v>
      </c>
      <c r="D97" t="s">
        <v>112</v>
      </c>
      <c r="E97" t="s">
        <v>80</v>
      </c>
      <c r="F97">
        <v>77077</v>
      </c>
      <c r="G97" t="s">
        <v>62</v>
      </c>
      <c r="I97">
        <v>7</v>
      </c>
      <c r="J97" t="s">
        <v>63</v>
      </c>
      <c r="K97" t="s">
        <v>4133</v>
      </c>
      <c r="L97" t="s">
        <v>113</v>
      </c>
      <c r="M97">
        <v>8</v>
      </c>
      <c r="N97" t="s">
        <v>114</v>
      </c>
      <c r="O97" t="s">
        <v>115</v>
      </c>
      <c r="Q97" t="s">
        <v>116</v>
      </c>
      <c r="R97" t="s">
        <v>112</v>
      </c>
      <c r="S97" t="s">
        <v>94</v>
      </c>
      <c r="T97" t="s">
        <v>117</v>
      </c>
      <c r="U97" t="s">
        <v>62</v>
      </c>
      <c r="V97">
        <v>8326724700</v>
      </c>
      <c r="W97" s="1">
        <v>53000000</v>
      </c>
      <c r="X97">
        <v>18</v>
      </c>
      <c r="Y97">
        <v>18</v>
      </c>
      <c r="Z97">
        <v>2014</v>
      </c>
      <c r="AA97" t="s">
        <v>70</v>
      </c>
      <c r="AB97" t="s">
        <v>118</v>
      </c>
      <c r="AC97" t="s">
        <v>98</v>
      </c>
      <c r="AD97" t="s">
        <v>119</v>
      </c>
      <c r="AE97">
        <v>1382</v>
      </c>
      <c r="AF97" t="s">
        <v>120</v>
      </c>
      <c r="AI97">
        <v>13820000</v>
      </c>
      <c r="AJ97" t="s">
        <v>119</v>
      </c>
      <c r="AM97">
        <v>213112</v>
      </c>
      <c r="AN97" t="s">
        <v>74</v>
      </c>
      <c r="AQ97" t="s">
        <v>75</v>
      </c>
      <c r="AT97" t="s">
        <v>76</v>
      </c>
      <c r="BF97">
        <v>0</v>
      </c>
      <c r="BG97">
        <v>0</v>
      </c>
      <c r="CK97" s="19">
        <f>IF(BQ97&gt;0,BQ97,W97)</f>
        <v>53000000</v>
      </c>
      <c r="CL97" s="20">
        <f>IF(BS97&gt;0,BS97,Y97)</f>
        <v>18</v>
      </c>
      <c r="CM97" s="34">
        <f>IF(CG97&gt;0,CG97,AM97)</f>
        <v>213112</v>
      </c>
      <c r="CN97" s="80">
        <f>IF($BH97="",1,COUNTIF($BH$3:$BH97,$BH97))</f>
        <v>1</v>
      </c>
      <c r="CP97" t="str">
        <f>IF($K97="Standard Match","Match",IF($K97="Name Only Match",IF($CO97="Yes","Match","Name Only Match"),"No Match"))</f>
        <v>Match</v>
      </c>
      <c r="CQ97" s="35" t="str">
        <f>IF(AND(CP97="Match",CK97&gt;0,CL97&gt;0),"Y","N")</f>
        <v>Y</v>
      </c>
      <c r="CS97" t="str">
        <f>IF($CQ97="Y",VLOOKUP($CM97,'SBA Size Standards'!$B$3:$G$57,MATCH('SBA Size Standards'!$G$3,'SBA Size Standards'!$B$3:$G$3,0),FALSE),"")</f>
        <v>Revenue</v>
      </c>
      <c r="CT97" s="60">
        <f>IF(CQ97="Y",IF($CS97="Employment","N/A",VLOOKUP($CM97,'SBA Size Standards'!$B$3:$G$57,MATCH('SBA Size Standards'!$E$3,'SBA Size Standards'!$B$3:$G$3,0),FALSE)),"")</f>
        <v>41500000</v>
      </c>
      <c r="CU97" s="86" t="str">
        <f>IF($CQ97="Y",IF($CS97="Revenue","N/A",VLOOKUP($CM97,'SBA Size Standards'!$B$3:$G$57,MATCH('SBA Size Standards'!$F$3,'SBA Size Standards'!$B$3:$G$3,0),FALSE)),"")</f>
        <v>N/A</v>
      </c>
      <c r="CV97" t="str">
        <f>IF($CQ97="Y",IF(OR(AND($CS97="Employment",$CL97&lt;$CU97),AND($CS97="Revenue",$CK97&lt;$CT97)),"YES","NO"),"")</f>
        <v>NO</v>
      </c>
      <c r="CW97" s="90" t="str">
        <f>IF($CQ97="Y",INDEX('SBA Size Standards'!$N$3:$N$12,MATCH($CK97,'SBA Size Standards'!$O$3:$O$12,1)),"")</f>
        <v>$5,000,001 - $100,000,000</v>
      </c>
      <c r="CX97" s="122" t="s">
        <v>4801</v>
      </c>
      <c r="CY97" s="122">
        <f>INDEX('NM O&amp;G Production'!$P$3:$P$537,MATCH(CX97,'NM O&amp;G Production'!$Q$3:$Q$537,0))</f>
        <v>7</v>
      </c>
      <c r="CZ97" s="122" t="str">
        <f>INDEX('NM O&amp;G Production'!$O$3:$O$537,MATCH(CY97,'NM O&amp;G Production'!$P$3:$P$537,0))</f>
        <v>Yes</v>
      </c>
      <c r="DA97" s="127">
        <f>INDEX('NM O&amp;G Production'!$K$3:$O$537,MATCH($CY97,'NM O&amp;G Production'!$P$3:$P$537,0),MATCH(DA$2,'NM O&amp;G Production'!$K$2:$O$2,0))</f>
        <v>30</v>
      </c>
      <c r="DB97" s="127">
        <f>INDEX('NM O&amp;G Production'!$K$3:$O$537,MATCH($CY97,'NM O&amp;G Production'!$P$3:$P$537,0),MATCH(DB$2,'NM O&amp;G Production'!$K$2:$O$2,0))</f>
        <v>5</v>
      </c>
      <c r="DC97" s="127">
        <f>DA97+DB97</f>
        <v>35</v>
      </c>
      <c r="DD97" s="127">
        <f>INDEX('NM O&amp;G Production'!$K$3:$O$537,MATCH($CY97,'NM O&amp;G Production'!$P$3:$P$537,0),MATCH(DD$2,'NM O&amp;G Production'!$K$2:$O$2,0))</f>
        <v>4919438</v>
      </c>
      <c r="DE97" s="127">
        <f>INDEX('NM O&amp;G Production'!$K$3:$O$537,MATCH($CY97,'NM O&amp;G Production'!$P$3:$P$537,0),MATCH(DE$2,'NM O&amp;G Production'!$K$2:$O$2,0))</f>
        <v>3646806</v>
      </c>
      <c r="DF97" s="258">
        <f>CK97/(DB97+DA97)</f>
        <v>1514285.7142857143</v>
      </c>
      <c r="DG97" s="57">
        <f>DD97*(12/18)*1.06*'Oil and Gas Prices'!$C$18</f>
        <v>8308602.8194666663</v>
      </c>
      <c r="DH97" s="284">
        <f>DE97*(12/18)*'Oil and Gas Prices'!$C$4</f>
        <v>109404180</v>
      </c>
      <c r="DI97" s="284">
        <f>DG97+DH97</f>
        <v>117712782.81946667</v>
      </c>
      <c r="DJ97" s="57">
        <f>(DG97+DH97)/(DA97+DB97)</f>
        <v>3363222.366270476</v>
      </c>
      <c r="DK97" s="318"/>
    </row>
    <row r="98" spans="1:115" x14ac:dyDescent="0.25">
      <c r="A98" t="s">
        <v>2237</v>
      </c>
      <c r="B98" t="s">
        <v>832</v>
      </c>
      <c r="D98" t="s">
        <v>88</v>
      </c>
      <c r="E98" t="s">
        <v>80</v>
      </c>
      <c r="F98">
        <v>76102</v>
      </c>
      <c r="G98" t="s">
        <v>62</v>
      </c>
      <c r="I98">
        <v>317</v>
      </c>
      <c r="J98" t="s">
        <v>63</v>
      </c>
      <c r="K98" t="s">
        <v>4133</v>
      </c>
      <c r="L98" t="s">
        <v>64</v>
      </c>
      <c r="M98">
        <v>10</v>
      </c>
      <c r="N98" t="s">
        <v>2238</v>
      </c>
      <c r="O98" t="s">
        <v>2239</v>
      </c>
      <c r="Q98" t="s">
        <v>2240</v>
      </c>
      <c r="R98" t="s">
        <v>88</v>
      </c>
      <c r="S98" t="s">
        <v>94</v>
      </c>
      <c r="T98" t="s">
        <v>2241</v>
      </c>
      <c r="U98" t="s">
        <v>62</v>
      </c>
      <c r="V98">
        <v>8173347800</v>
      </c>
      <c r="W98" s="1">
        <v>52832464</v>
      </c>
      <c r="X98">
        <v>31</v>
      </c>
      <c r="Y98">
        <v>150</v>
      </c>
      <c r="Z98">
        <v>2012</v>
      </c>
      <c r="AA98" t="s">
        <v>163</v>
      </c>
      <c r="AB98" t="s">
        <v>2242</v>
      </c>
      <c r="AC98" t="s">
        <v>2243</v>
      </c>
      <c r="AD98" t="s">
        <v>517</v>
      </c>
      <c r="AE98">
        <v>1381</v>
      </c>
      <c r="AF98" t="s">
        <v>518</v>
      </c>
      <c r="AI98">
        <v>13810000</v>
      </c>
      <c r="AJ98" t="s">
        <v>519</v>
      </c>
      <c r="AM98">
        <v>213111</v>
      </c>
      <c r="AN98" t="s">
        <v>518</v>
      </c>
      <c r="AQ98" t="s">
        <v>75</v>
      </c>
      <c r="AR98" t="s">
        <v>2238</v>
      </c>
      <c r="AS98" t="s">
        <v>2239</v>
      </c>
      <c r="AT98" t="s">
        <v>427</v>
      </c>
      <c r="AU98" t="s">
        <v>80</v>
      </c>
      <c r="AV98" t="s">
        <v>62</v>
      </c>
      <c r="AW98" t="s">
        <v>2238</v>
      </c>
      <c r="AX98" t="s">
        <v>2239</v>
      </c>
      <c r="AY98" t="s">
        <v>80</v>
      </c>
      <c r="AZ98" t="s">
        <v>62</v>
      </c>
      <c r="BE98" t="s">
        <v>62</v>
      </c>
      <c r="BF98">
        <v>1</v>
      </c>
      <c r="BG98">
        <v>2</v>
      </c>
      <c r="BH98" s="4" t="s">
        <v>2238</v>
      </c>
      <c r="BI98" s="4" t="s">
        <v>2239</v>
      </c>
      <c r="BK98" s="4" t="s">
        <v>2240</v>
      </c>
      <c r="BL98" s="4" t="s">
        <v>88</v>
      </c>
      <c r="BM98" s="4" t="s">
        <v>94</v>
      </c>
      <c r="BN98" s="4" t="s">
        <v>2241</v>
      </c>
      <c r="BO98" s="4" t="s">
        <v>62</v>
      </c>
      <c r="BP98" s="4">
        <v>8173347800</v>
      </c>
      <c r="BQ98" s="5">
        <v>52832464</v>
      </c>
      <c r="BR98" s="4">
        <v>31</v>
      </c>
      <c r="BS98" s="4">
        <v>150</v>
      </c>
      <c r="BT98" s="4">
        <v>2012</v>
      </c>
      <c r="BU98" s="4" t="s">
        <v>163</v>
      </c>
      <c r="BV98" s="4" t="s">
        <v>2242</v>
      </c>
      <c r="BW98" s="4" t="s">
        <v>2243</v>
      </c>
      <c r="BX98" s="4" t="s">
        <v>517</v>
      </c>
      <c r="BY98" s="4">
        <v>1381</v>
      </c>
      <c r="BZ98" s="4" t="s">
        <v>518</v>
      </c>
      <c r="CC98" s="4">
        <v>13810000</v>
      </c>
      <c r="CD98" s="4" t="s">
        <v>519</v>
      </c>
      <c r="CG98" s="4">
        <v>213111</v>
      </c>
      <c r="CH98" s="4" t="s">
        <v>518</v>
      </c>
      <c r="CK98" s="19">
        <f>IF(BQ98&gt;0,BQ98,W98)</f>
        <v>52832464</v>
      </c>
      <c r="CL98" s="20">
        <f>IF(BS98&gt;0,BS98,Y98)</f>
        <v>150</v>
      </c>
      <c r="CM98" s="34">
        <f>IF(CG98&gt;0,CG98,AM98)</f>
        <v>213111</v>
      </c>
      <c r="CN98" s="80">
        <f>IF($BH98="",1,COUNTIF($BH$3:$BH98,$BH98))</f>
        <v>1</v>
      </c>
      <c r="CP98" t="str">
        <f>IF($K98="Standard Match","Match",IF($K98="Name Only Match",IF($CO98="Yes","Match","Name Only Match"),"No Match"))</f>
        <v>Match</v>
      </c>
      <c r="CQ98" s="35" t="str">
        <f>IF(AND(CP98="Match",CK98&gt;0,CL98&gt;0),"Y","N")</f>
        <v>Y</v>
      </c>
      <c r="CS98" t="str">
        <f>IF($CQ98="Y",VLOOKUP($CM98,'SBA Size Standards'!$B$3:$G$57,MATCH('SBA Size Standards'!$G$3,'SBA Size Standards'!$B$3:$G$3,0),FALSE),"")</f>
        <v>Employment</v>
      </c>
      <c r="CT98" s="60" t="str">
        <f>IF(CQ98="Y",IF($CS98="Employment","N/A",VLOOKUP($CM98,'SBA Size Standards'!$B$3:$G$57,MATCH('SBA Size Standards'!$E$3,'SBA Size Standards'!$B$3:$G$3,0),FALSE)),"")</f>
        <v>N/A</v>
      </c>
      <c r="CU98" s="86">
        <f>IF($CQ98="Y",IF($CS98="Revenue","N/A",VLOOKUP($CM98,'SBA Size Standards'!$B$3:$G$57,MATCH('SBA Size Standards'!$F$3,'SBA Size Standards'!$B$3:$G$3,0),FALSE)),"")</f>
        <v>1000</v>
      </c>
      <c r="CV98" t="str">
        <f>IF($CQ98="Y",IF(OR(AND($CS98="Employment",$CL98&lt;$CU98),AND($CS98="Revenue",$CK98&lt;$CT98)),"YES","NO"),"")</f>
        <v>YES</v>
      </c>
      <c r="CW98" s="90" t="str">
        <f>IF($CQ98="Y",INDEX('SBA Size Standards'!$N$3:$N$12,MATCH($CK98,'SBA Size Standards'!$O$3:$O$12,1)),"")</f>
        <v>$5,000,001 - $100,000,000</v>
      </c>
      <c r="CX98" s="122" t="s">
        <v>4685</v>
      </c>
      <c r="CY98" s="122">
        <f>INDEX('NM O&amp;G Production'!$P$3:$P$537,MATCH(CX98,'NM O&amp;G Production'!$Q$3:$Q$537,0))</f>
        <v>317</v>
      </c>
      <c r="CZ98" s="122" t="str">
        <f>INDEX('NM O&amp;G Production'!$O$3:$O$537,MATCH(CY98,'NM O&amp;G Production'!$P$3:$P$537,0))</f>
        <v>Yes</v>
      </c>
      <c r="DA98" s="127">
        <f>INDEX('NM O&amp;G Production'!$K$3:$O$537,MATCH($CY98,'NM O&amp;G Production'!$P$3:$P$537,0),MATCH(DA$2,'NM O&amp;G Production'!$K$2:$O$2,0))</f>
        <v>421</v>
      </c>
      <c r="DB98" s="127">
        <f>INDEX('NM O&amp;G Production'!$K$3:$O$537,MATCH($CY98,'NM O&amp;G Production'!$P$3:$P$537,0),MATCH(DB$2,'NM O&amp;G Production'!$K$2:$O$2,0))</f>
        <v>481</v>
      </c>
      <c r="DC98" s="127">
        <f>DA98+DB98</f>
        <v>902</v>
      </c>
      <c r="DD98" s="127">
        <f>INDEX('NM O&amp;G Production'!$K$3:$O$537,MATCH($CY98,'NM O&amp;G Production'!$P$3:$P$537,0),MATCH(DD$2,'NM O&amp;G Production'!$K$2:$O$2,0))</f>
        <v>40807827</v>
      </c>
      <c r="DE98" s="127">
        <f>INDEX('NM O&amp;G Production'!$K$3:$O$537,MATCH($CY98,'NM O&amp;G Production'!$P$3:$P$537,0),MATCH(DE$2,'NM O&amp;G Production'!$K$2:$O$2,0))</f>
        <v>7153</v>
      </c>
      <c r="DF98" s="258">
        <f>CK98/(DB98+DA98)</f>
        <v>58572.576496674061</v>
      </c>
      <c r="DG98" s="57">
        <f>DD98*(12/18)*1.06*'Oil and Gas Prices'!$C$18</f>
        <v>68921699.281200007</v>
      </c>
      <c r="DH98" s="284">
        <f>DE98*(12/18)*'Oil and Gas Prices'!$C$4</f>
        <v>214589.99999999997</v>
      </c>
      <c r="DI98" s="284">
        <f>DG98+DH98</f>
        <v>69136289.281200007</v>
      </c>
      <c r="DJ98" s="57">
        <f>(DG98+DH98)/(DA98+DB98)</f>
        <v>76647.7708217295</v>
      </c>
      <c r="DK98" s="319"/>
    </row>
    <row r="99" spans="1:115" x14ac:dyDescent="0.25">
      <c r="A99" t="s">
        <v>981</v>
      </c>
      <c r="B99" t="s">
        <v>982</v>
      </c>
      <c r="D99" t="s">
        <v>123</v>
      </c>
      <c r="E99" t="s">
        <v>84</v>
      </c>
      <c r="F99">
        <v>87499</v>
      </c>
      <c r="G99" t="s">
        <v>62</v>
      </c>
      <c r="I99">
        <v>128</v>
      </c>
      <c r="J99" t="s">
        <v>63</v>
      </c>
      <c r="K99" t="s">
        <v>4133</v>
      </c>
      <c r="L99" t="s">
        <v>149</v>
      </c>
      <c r="M99">
        <v>10</v>
      </c>
      <c r="N99" t="s">
        <v>983</v>
      </c>
      <c r="O99" t="s">
        <v>984</v>
      </c>
      <c r="Q99" t="s">
        <v>985</v>
      </c>
      <c r="R99" t="s">
        <v>123</v>
      </c>
      <c r="S99" t="s">
        <v>214</v>
      </c>
      <c r="T99" t="s">
        <v>986</v>
      </c>
      <c r="U99" t="s">
        <v>62</v>
      </c>
      <c r="V99">
        <v>5053251821</v>
      </c>
      <c r="W99" s="1">
        <v>52170548</v>
      </c>
      <c r="X99">
        <v>120</v>
      </c>
      <c r="Y99">
        <v>140</v>
      </c>
      <c r="Z99">
        <v>1959</v>
      </c>
      <c r="AA99" t="s">
        <v>163</v>
      </c>
      <c r="AB99" t="s">
        <v>987</v>
      </c>
      <c r="AC99" t="s">
        <v>98</v>
      </c>
      <c r="AD99" t="s">
        <v>99</v>
      </c>
      <c r="AE99">
        <v>1311</v>
      </c>
      <c r="AF99" t="s">
        <v>100</v>
      </c>
      <c r="AG99">
        <v>1389</v>
      </c>
      <c r="AH99" t="s">
        <v>72</v>
      </c>
      <c r="AI99">
        <v>13110101</v>
      </c>
      <c r="AJ99" t="s">
        <v>102</v>
      </c>
      <c r="AK99">
        <v>13899912</v>
      </c>
      <c r="AL99" t="s">
        <v>426</v>
      </c>
      <c r="AM99">
        <v>211120</v>
      </c>
      <c r="AN99" t="s">
        <v>104</v>
      </c>
      <c r="AO99">
        <v>213112</v>
      </c>
      <c r="AP99" t="s">
        <v>74</v>
      </c>
      <c r="AQ99" t="s">
        <v>75</v>
      </c>
      <c r="AR99" t="s">
        <v>983</v>
      </c>
      <c r="AS99" t="s">
        <v>984</v>
      </c>
      <c r="AT99" t="s">
        <v>427</v>
      </c>
      <c r="AU99" t="s">
        <v>84</v>
      </c>
      <c r="AV99" t="s">
        <v>62</v>
      </c>
      <c r="AW99" t="s">
        <v>983</v>
      </c>
      <c r="AX99" t="s">
        <v>984</v>
      </c>
      <c r="AY99" t="s">
        <v>84</v>
      </c>
      <c r="AZ99" t="s">
        <v>62</v>
      </c>
      <c r="BE99" t="s">
        <v>62</v>
      </c>
      <c r="BF99">
        <v>1</v>
      </c>
      <c r="BG99">
        <v>2</v>
      </c>
      <c r="BH99" s="4" t="s">
        <v>983</v>
      </c>
      <c r="BI99" s="4" t="s">
        <v>984</v>
      </c>
      <c r="BK99" s="4" t="s">
        <v>985</v>
      </c>
      <c r="BL99" s="4" t="s">
        <v>123</v>
      </c>
      <c r="BM99" s="4" t="s">
        <v>214</v>
      </c>
      <c r="BN99" s="4" t="s">
        <v>986</v>
      </c>
      <c r="BO99" s="4" t="s">
        <v>62</v>
      </c>
      <c r="BP99" s="4">
        <v>5053251821</v>
      </c>
      <c r="BQ99" s="5">
        <v>52170548</v>
      </c>
      <c r="BR99" s="4">
        <v>120</v>
      </c>
      <c r="BS99" s="4">
        <v>140</v>
      </c>
      <c r="BT99" s="4">
        <v>1959</v>
      </c>
      <c r="BU99" s="4" t="s">
        <v>163</v>
      </c>
      <c r="BV99" s="4" t="s">
        <v>987</v>
      </c>
      <c r="BW99" s="4" t="s">
        <v>98</v>
      </c>
      <c r="BX99" s="4" t="s">
        <v>99</v>
      </c>
      <c r="BY99" s="4">
        <v>1311</v>
      </c>
      <c r="BZ99" s="4" t="s">
        <v>100</v>
      </c>
      <c r="CA99" s="4">
        <v>1389</v>
      </c>
      <c r="CB99" s="4" t="s">
        <v>72</v>
      </c>
      <c r="CC99" s="4">
        <v>13110101</v>
      </c>
      <c r="CD99" s="4" t="s">
        <v>102</v>
      </c>
      <c r="CE99" s="4">
        <v>13899912</v>
      </c>
      <c r="CF99" s="4" t="s">
        <v>426</v>
      </c>
      <c r="CG99" s="4">
        <v>211120</v>
      </c>
      <c r="CH99" s="4" t="s">
        <v>104</v>
      </c>
      <c r="CI99" s="4">
        <v>213112</v>
      </c>
      <c r="CJ99" s="4" t="s">
        <v>74</v>
      </c>
      <c r="CK99" s="19">
        <f>IF(BQ99&gt;0,BQ99,W99)</f>
        <v>52170548</v>
      </c>
      <c r="CL99" s="20">
        <f>IF(BS99&gt;0,BS99,Y99)</f>
        <v>140</v>
      </c>
      <c r="CM99" s="34">
        <f>IF(CG99&gt;0,CG99,AM99)</f>
        <v>211120</v>
      </c>
      <c r="CN99" s="80">
        <f>IF($BH99="",1,COUNTIF($BH$3:$BH99,$BH99))</f>
        <v>1</v>
      </c>
      <c r="CP99" t="str">
        <f>IF($K99="Standard Match","Match",IF($K99="Name Only Match",IF($CO99="Yes","Match","Name Only Match"),"No Match"))</f>
        <v>Match</v>
      </c>
      <c r="CQ99" s="35" t="str">
        <f>IF(AND(CP99="Match",CK99&gt;0,CL99&gt;0),"Y","N")</f>
        <v>Y</v>
      </c>
      <c r="CS99" t="str">
        <f>IF($CQ99="Y",VLOOKUP($CM99,'SBA Size Standards'!$B$3:$G$57,MATCH('SBA Size Standards'!$G$3,'SBA Size Standards'!$B$3:$G$3,0),FALSE),"")</f>
        <v>Employment</v>
      </c>
      <c r="CT99" s="60" t="str">
        <f>IF(CQ99="Y",IF($CS99="Employment","N/A",VLOOKUP($CM99,'SBA Size Standards'!$B$3:$G$57,MATCH('SBA Size Standards'!$E$3,'SBA Size Standards'!$B$3:$G$3,0),FALSE)),"")</f>
        <v>N/A</v>
      </c>
      <c r="CU99" s="86">
        <f>IF($CQ99="Y",IF($CS99="Revenue","N/A",VLOOKUP($CM99,'SBA Size Standards'!$B$3:$G$57,MATCH('SBA Size Standards'!$F$3,'SBA Size Standards'!$B$3:$G$3,0),FALSE)),"")</f>
        <v>1250</v>
      </c>
      <c r="CV99" t="str">
        <f>IF($CQ99="Y",IF(OR(AND($CS99="Employment",$CL99&lt;$CU99),AND($CS99="Revenue",$CK99&lt;$CT99)),"YES","NO"),"")</f>
        <v>YES</v>
      </c>
      <c r="CW99" s="90" t="str">
        <f>IF($CQ99="Y",INDEX('SBA Size Standards'!$N$3:$N$12,MATCH($CK99,'SBA Size Standards'!$O$3:$O$12,1)),"")</f>
        <v>$5,000,001 - $100,000,000</v>
      </c>
      <c r="CX99" s="122" t="s">
        <v>4589</v>
      </c>
      <c r="CY99" s="122">
        <f>INDEX('NM O&amp;G Production'!$P$3:$P$537,MATCH(CX99,'NM O&amp;G Production'!$Q$3:$Q$537,0))</f>
        <v>128</v>
      </c>
      <c r="CZ99" s="122" t="str">
        <f>INDEX('NM O&amp;G Production'!$O$3:$O$537,MATCH(CY99,'NM O&amp;G Production'!$P$3:$P$537,0))</f>
        <v>No</v>
      </c>
      <c r="DA99" s="127">
        <f>INDEX('NM O&amp;G Production'!$K$3:$O$537,MATCH($CY99,'NM O&amp;G Production'!$P$3:$P$537,0),MATCH(DA$2,'NM O&amp;G Production'!$K$2:$O$2,0))</f>
        <v>0</v>
      </c>
      <c r="DB99" s="127">
        <f>INDEX('NM O&amp;G Production'!$K$3:$O$537,MATCH($CY99,'NM O&amp;G Production'!$P$3:$P$537,0),MATCH(DB$2,'NM O&amp;G Production'!$K$2:$O$2,0))</f>
        <v>0</v>
      </c>
      <c r="DC99" s="127"/>
      <c r="DD99" s="127">
        <f>INDEX('NM O&amp;G Production'!$K$3:$O$537,MATCH($CY99,'NM O&amp;G Production'!$P$3:$P$537,0),MATCH(DD$2,'NM O&amp;G Production'!$K$2:$O$2,0))</f>
        <v>0</v>
      </c>
      <c r="DE99" s="127">
        <f>INDEX('NM O&amp;G Production'!$K$3:$O$537,MATCH($CY99,'NM O&amp;G Production'!$P$3:$P$537,0),MATCH(DE$2,'NM O&amp;G Production'!$K$2:$O$2,0))</f>
        <v>0</v>
      </c>
      <c r="DF99" s="258" t="e">
        <f>CK99/(DB99+DA99)</f>
        <v>#DIV/0!</v>
      </c>
      <c r="DG99" s="57">
        <f>DD99*(12/18)*1.06*'Oil and Gas Prices'!$C$18</f>
        <v>0</v>
      </c>
      <c r="DH99" s="284">
        <f>DE99*(12/18)*'Oil and Gas Prices'!$C$4</f>
        <v>0</v>
      </c>
      <c r="DI99" s="284"/>
      <c r="DJ99" s="57" t="e">
        <f>(DG99+DH99)/(DA99+DB99)</f>
        <v>#DIV/0!</v>
      </c>
      <c r="DK99" s="18" t="e">
        <f>CK99/DI99</f>
        <v>#DIV/0!</v>
      </c>
    </row>
    <row r="100" spans="1:115" x14ac:dyDescent="0.25">
      <c r="A100" t="s">
        <v>988</v>
      </c>
      <c r="B100" t="s">
        <v>989</v>
      </c>
      <c r="D100" t="s">
        <v>123</v>
      </c>
      <c r="E100" t="s">
        <v>84</v>
      </c>
      <c r="F100">
        <v>87499</v>
      </c>
      <c r="G100" t="s">
        <v>62</v>
      </c>
      <c r="I100">
        <v>129</v>
      </c>
      <c r="J100" t="s">
        <v>63</v>
      </c>
      <c r="K100" t="s">
        <v>4133</v>
      </c>
      <c r="L100" t="s">
        <v>64</v>
      </c>
      <c r="M100">
        <v>10</v>
      </c>
      <c r="N100" t="s">
        <v>983</v>
      </c>
      <c r="O100" t="s">
        <v>984</v>
      </c>
      <c r="Q100" t="s">
        <v>985</v>
      </c>
      <c r="R100" t="s">
        <v>123</v>
      </c>
      <c r="S100" t="s">
        <v>214</v>
      </c>
      <c r="T100" t="s">
        <v>986</v>
      </c>
      <c r="U100" t="s">
        <v>62</v>
      </c>
      <c r="V100">
        <v>5053251821</v>
      </c>
      <c r="W100" s="1">
        <v>52170548</v>
      </c>
      <c r="X100">
        <v>120</v>
      </c>
      <c r="Y100">
        <v>140</v>
      </c>
      <c r="Z100">
        <v>1959</v>
      </c>
      <c r="AA100" t="s">
        <v>163</v>
      </c>
      <c r="AB100" t="s">
        <v>987</v>
      </c>
      <c r="AC100" t="s">
        <v>98</v>
      </c>
      <c r="AD100" t="s">
        <v>99</v>
      </c>
      <c r="AE100">
        <v>1311</v>
      </c>
      <c r="AF100" t="s">
        <v>100</v>
      </c>
      <c r="AG100">
        <v>1389</v>
      </c>
      <c r="AH100" t="s">
        <v>72</v>
      </c>
      <c r="AI100">
        <v>13110101</v>
      </c>
      <c r="AJ100" t="s">
        <v>102</v>
      </c>
      <c r="AK100">
        <v>13899912</v>
      </c>
      <c r="AL100" t="s">
        <v>426</v>
      </c>
      <c r="AM100">
        <v>211120</v>
      </c>
      <c r="AN100" t="s">
        <v>104</v>
      </c>
      <c r="AO100">
        <v>213112</v>
      </c>
      <c r="AP100" t="s">
        <v>74</v>
      </c>
      <c r="AQ100" t="s">
        <v>75</v>
      </c>
      <c r="AR100" t="s">
        <v>983</v>
      </c>
      <c r="AS100" t="s">
        <v>984</v>
      </c>
      <c r="AT100" t="s">
        <v>427</v>
      </c>
      <c r="AU100" t="s">
        <v>84</v>
      </c>
      <c r="AV100" t="s">
        <v>62</v>
      </c>
      <c r="AW100" t="s">
        <v>983</v>
      </c>
      <c r="AX100" t="s">
        <v>984</v>
      </c>
      <c r="AY100" t="s">
        <v>84</v>
      </c>
      <c r="AZ100" t="s">
        <v>62</v>
      </c>
      <c r="BE100" t="s">
        <v>62</v>
      </c>
      <c r="BF100">
        <v>1</v>
      </c>
      <c r="BG100">
        <v>2</v>
      </c>
      <c r="BH100" s="4" t="s">
        <v>983</v>
      </c>
      <c r="BI100" s="4" t="s">
        <v>984</v>
      </c>
      <c r="BK100" s="4" t="s">
        <v>985</v>
      </c>
      <c r="BL100" s="4" t="s">
        <v>123</v>
      </c>
      <c r="BM100" s="4" t="s">
        <v>214</v>
      </c>
      <c r="BN100" s="4" t="s">
        <v>986</v>
      </c>
      <c r="BO100" s="4" t="s">
        <v>62</v>
      </c>
      <c r="BP100" s="4">
        <v>5053251821</v>
      </c>
      <c r="BQ100" s="5">
        <v>52170548</v>
      </c>
      <c r="BR100" s="4">
        <v>120</v>
      </c>
      <c r="BS100" s="4">
        <v>140</v>
      </c>
      <c r="BT100" s="4">
        <v>1959</v>
      </c>
      <c r="BU100" s="4" t="s">
        <v>163</v>
      </c>
      <c r="BV100" s="4" t="s">
        <v>987</v>
      </c>
      <c r="BW100" s="4" t="s">
        <v>98</v>
      </c>
      <c r="BX100" s="4" t="s">
        <v>99</v>
      </c>
      <c r="BY100" s="4">
        <v>1311</v>
      </c>
      <c r="BZ100" s="4" t="s">
        <v>100</v>
      </c>
      <c r="CA100" s="4">
        <v>1389</v>
      </c>
      <c r="CB100" s="4" t="s">
        <v>72</v>
      </c>
      <c r="CC100" s="4">
        <v>13110101</v>
      </c>
      <c r="CD100" s="4" t="s">
        <v>102</v>
      </c>
      <c r="CE100" s="4">
        <v>13899912</v>
      </c>
      <c r="CF100" s="4" t="s">
        <v>426</v>
      </c>
      <c r="CG100" s="4">
        <v>211120</v>
      </c>
      <c r="CH100" s="4" t="s">
        <v>104</v>
      </c>
      <c r="CI100" s="4">
        <v>213112</v>
      </c>
      <c r="CJ100" s="4" t="s">
        <v>74</v>
      </c>
      <c r="CK100" s="19">
        <f>IF(BQ100&gt;0,BQ100,W100)</f>
        <v>52170548</v>
      </c>
      <c r="CL100" s="20">
        <f>IF(BS100&gt;0,BS100,Y100)</f>
        <v>140</v>
      </c>
      <c r="CM100" s="34">
        <f>IF(CG100&gt;0,CG100,AM100)</f>
        <v>211120</v>
      </c>
      <c r="CN100" s="80">
        <f>IF($BH100="",1,COUNTIF($BH$3:$BH100,$BH100))</f>
        <v>2</v>
      </c>
      <c r="CP100" t="str">
        <f>IF($K100="Standard Match","Match",IF($K100="Name Only Match",IF($CO100="Yes","Match","Name Only Match"),"No Match"))</f>
        <v>Match</v>
      </c>
      <c r="CQ100" s="35" t="str">
        <f>IF(AND(CP100="Match",CK100&gt;0,CL100&gt;0),"Y","N")</f>
        <v>Y</v>
      </c>
      <c r="CS100" t="str">
        <f>IF($CQ100="Y",VLOOKUP($CM100,'SBA Size Standards'!$B$3:$G$57,MATCH('SBA Size Standards'!$G$3,'SBA Size Standards'!$B$3:$G$3,0),FALSE),"")</f>
        <v>Employment</v>
      </c>
      <c r="CT100" s="60" t="str">
        <f>IF(CQ100="Y",IF($CS100="Employment","N/A",VLOOKUP($CM100,'SBA Size Standards'!$B$3:$G$57,MATCH('SBA Size Standards'!$E$3,'SBA Size Standards'!$B$3:$G$3,0),FALSE)),"")</f>
        <v>N/A</v>
      </c>
      <c r="CU100" s="86">
        <f>IF($CQ100="Y",IF($CS100="Revenue","N/A",VLOOKUP($CM100,'SBA Size Standards'!$B$3:$G$57,MATCH('SBA Size Standards'!$F$3,'SBA Size Standards'!$B$3:$G$3,0),FALSE)),"")</f>
        <v>1250</v>
      </c>
      <c r="CV100" t="str">
        <f>IF($CQ100="Y",IF(OR(AND($CS100="Employment",$CL100&lt;$CU100),AND($CS100="Revenue",$CK100&lt;$CT100)),"YES","NO"),"")</f>
        <v>YES</v>
      </c>
      <c r="CW100" s="90" t="str">
        <f>IF($CQ100="Y",INDEX('SBA Size Standards'!$N$3:$N$12,MATCH($CK100,'SBA Size Standards'!$O$3:$O$12,1)),"")</f>
        <v>$5,000,001 - $100,000,000</v>
      </c>
      <c r="CX100" s="122" t="s">
        <v>4590</v>
      </c>
      <c r="CY100" s="122">
        <f>INDEX('NM O&amp;G Production'!$P$3:$P$537,MATCH(CX100,'NM O&amp;G Production'!$Q$3:$Q$537,0))</f>
        <v>129</v>
      </c>
      <c r="CZ100" s="122" t="str">
        <f>INDEX('NM O&amp;G Production'!$O$3:$O$537,MATCH(CY100,'NM O&amp;G Production'!$P$3:$P$537,0))</f>
        <v>Yes</v>
      </c>
      <c r="DA100" s="127">
        <f>INDEX('NM O&amp;G Production'!$K$3:$O$537,MATCH($CY100,'NM O&amp;G Production'!$P$3:$P$537,0),MATCH(DA$2,'NM O&amp;G Production'!$K$2:$O$2,0))</f>
        <v>138</v>
      </c>
      <c r="DB100" s="127">
        <f>INDEX('NM O&amp;G Production'!$K$3:$O$537,MATCH($CY100,'NM O&amp;G Production'!$P$3:$P$537,0),MATCH(DB$2,'NM O&amp;G Production'!$K$2:$O$2,0))</f>
        <v>854</v>
      </c>
      <c r="DC100" s="127">
        <f>DA100+DB100</f>
        <v>992</v>
      </c>
      <c r="DD100" s="127">
        <f>INDEX('NM O&amp;G Production'!$K$3:$O$537,MATCH($CY100,'NM O&amp;G Production'!$P$3:$P$537,0),MATCH(DD$2,'NM O&amp;G Production'!$K$2:$O$2,0))</f>
        <v>12463847</v>
      </c>
      <c r="DE100" s="127">
        <f>INDEX('NM O&amp;G Production'!$K$3:$O$537,MATCH($CY100,'NM O&amp;G Production'!$P$3:$P$537,0),MATCH(DE$2,'NM O&amp;G Production'!$K$2:$O$2,0))</f>
        <v>109704</v>
      </c>
      <c r="DF100" s="258">
        <f>CK100/(DB100+DA100)</f>
        <v>52591.278225806454</v>
      </c>
      <c r="DG100" s="57">
        <f>DD100*(12/18)*1.06*'Oil and Gas Prices'!$C$18</f>
        <v>21050606.659866668</v>
      </c>
      <c r="DH100" s="284">
        <f>DE100*(12/18)*'Oil and Gas Prices'!$C$4</f>
        <v>3291120</v>
      </c>
      <c r="DI100" s="284">
        <f>DG100+DH100</f>
        <v>24341726.659866668</v>
      </c>
      <c r="DJ100" s="57">
        <f>(DG100+DH100)/(DA100+DB100)</f>
        <v>24538.030907123659</v>
      </c>
      <c r="DK100" s="321"/>
    </row>
    <row r="101" spans="1:115" x14ac:dyDescent="0.25">
      <c r="A101" t="s">
        <v>3332</v>
      </c>
      <c r="B101" t="s">
        <v>3333</v>
      </c>
      <c r="D101" t="s">
        <v>3334</v>
      </c>
      <c r="E101" t="s">
        <v>80</v>
      </c>
      <c r="F101">
        <v>76011</v>
      </c>
      <c r="G101" t="s">
        <v>62</v>
      </c>
      <c r="I101">
        <v>494</v>
      </c>
      <c r="J101" t="s">
        <v>63</v>
      </c>
      <c r="K101" t="s">
        <v>4133</v>
      </c>
      <c r="L101" t="s">
        <v>64</v>
      </c>
      <c r="M101">
        <v>10</v>
      </c>
      <c r="N101" t="s">
        <v>3335</v>
      </c>
      <c r="O101" t="s">
        <v>3336</v>
      </c>
      <c r="P101" t="s">
        <v>3337</v>
      </c>
      <c r="Q101" t="s">
        <v>3338</v>
      </c>
      <c r="R101" t="s">
        <v>3334</v>
      </c>
      <c r="S101" t="s">
        <v>94</v>
      </c>
      <c r="T101" t="s">
        <v>3339</v>
      </c>
      <c r="U101" t="s">
        <v>62</v>
      </c>
      <c r="V101">
        <v>6823052868</v>
      </c>
      <c r="X101">
        <v>10</v>
      </c>
      <c r="Y101">
        <v>0</v>
      </c>
      <c r="AA101" t="s">
        <v>96</v>
      </c>
      <c r="AD101" t="s">
        <v>119</v>
      </c>
      <c r="AE101">
        <v>1382</v>
      </c>
      <c r="AF101" t="s">
        <v>120</v>
      </c>
      <c r="AI101">
        <v>13820000</v>
      </c>
      <c r="AJ101" t="s">
        <v>119</v>
      </c>
      <c r="AM101">
        <v>213112</v>
      </c>
      <c r="AN101" t="s">
        <v>74</v>
      </c>
      <c r="AQ101" t="s">
        <v>75</v>
      </c>
      <c r="AR101" t="s">
        <v>3340</v>
      </c>
      <c r="AS101" t="s">
        <v>3336</v>
      </c>
      <c r="AT101" t="s">
        <v>76</v>
      </c>
      <c r="AU101" t="s">
        <v>3341</v>
      </c>
      <c r="AV101" t="s">
        <v>62</v>
      </c>
      <c r="AW101" t="s">
        <v>3340</v>
      </c>
      <c r="AX101" t="s">
        <v>3336</v>
      </c>
      <c r="AY101" t="s">
        <v>3341</v>
      </c>
      <c r="AZ101" t="s">
        <v>62</v>
      </c>
      <c r="BB101" t="s">
        <v>3340</v>
      </c>
      <c r="BC101" t="s">
        <v>3336</v>
      </c>
      <c r="BD101" t="s">
        <v>3341</v>
      </c>
      <c r="BE101" t="s">
        <v>62</v>
      </c>
      <c r="BF101">
        <v>1</v>
      </c>
      <c r="BG101">
        <v>3</v>
      </c>
      <c r="BH101" s="4" t="s">
        <v>3340</v>
      </c>
      <c r="BI101" s="4" t="s">
        <v>3336</v>
      </c>
      <c r="BK101" s="4" t="s">
        <v>4217</v>
      </c>
      <c r="BL101" s="4" t="s">
        <v>4218</v>
      </c>
      <c r="BM101" s="4" t="s">
        <v>3629</v>
      </c>
      <c r="BN101" s="4" t="s">
        <v>4219</v>
      </c>
      <c r="BO101" s="4" t="s">
        <v>62</v>
      </c>
      <c r="BP101" s="4">
        <v>7166360401</v>
      </c>
      <c r="BQ101" s="5">
        <v>50282630</v>
      </c>
      <c r="BR101" s="4">
        <v>53</v>
      </c>
      <c r="BS101" s="4">
        <v>75</v>
      </c>
      <c r="BT101" s="4">
        <v>1980</v>
      </c>
      <c r="BU101" s="4" t="s">
        <v>163</v>
      </c>
      <c r="BV101" s="4" t="s">
        <v>4220</v>
      </c>
      <c r="BW101" s="4" t="s">
        <v>133</v>
      </c>
      <c r="BX101" s="4" t="s">
        <v>119</v>
      </c>
      <c r="BY101" s="4">
        <v>1382</v>
      </c>
      <c r="BZ101" s="4" t="s">
        <v>120</v>
      </c>
      <c r="CA101" s="4">
        <v>1381</v>
      </c>
      <c r="CB101" s="4" t="s">
        <v>518</v>
      </c>
      <c r="CC101" s="4">
        <v>13820000</v>
      </c>
      <c r="CD101" s="4" t="s">
        <v>119</v>
      </c>
      <c r="CE101" s="4">
        <v>13810000</v>
      </c>
      <c r="CF101" s="4" t="s">
        <v>519</v>
      </c>
      <c r="CG101" s="4">
        <v>213112</v>
      </c>
      <c r="CH101" s="4" t="s">
        <v>74</v>
      </c>
      <c r="CI101" s="4">
        <v>213111</v>
      </c>
      <c r="CJ101" s="4" t="s">
        <v>518</v>
      </c>
      <c r="CK101" s="19">
        <f>IF(BQ101&gt;0,BQ101,W101)</f>
        <v>50282630</v>
      </c>
      <c r="CL101" s="20">
        <f>IF(BS101&gt;0,BS101,Y101)</f>
        <v>75</v>
      </c>
      <c r="CM101" s="34">
        <f>IF(CG101&gt;0,CG101,AM101)</f>
        <v>213112</v>
      </c>
      <c r="CN101" s="80">
        <f>IF($BH101="",1,COUNTIF($BH$3:$BH101,$BH101))</f>
        <v>1</v>
      </c>
      <c r="CP101" t="str">
        <f>IF($K101="Standard Match","Match",IF($K101="Name Only Match",IF($CO101="Yes","Match","Name Only Match"),"No Match"))</f>
        <v>Match</v>
      </c>
      <c r="CQ101" s="35" t="str">
        <f>IF(AND(CP101="Match",CK101&gt;0,CL101&gt;0),"Y","N")</f>
        <v>Y</v>
      </c>
      <c r="CS101" t="str">
        <f>IF($CQ101="Y",VLOOKUP($CM101,'SBA Size Standards'!$B$3:$G$57,MATCH('SBA Size Standards'!$G$3,'SBA Size Standards'!$B$3:$G$3,0),FALSE),"")</f>
        <v>Revenue</v>
      </c>
      <c r="CT101" s="60">
        <f>IF(CQ101="Y",IF($CS101="Employment","N/A",VLOOKUP($CM101,'SBA Size Standards'!$B$3:$G$57,MATCH('SBA Size Standards'!$E$3,'SBA Size Standards'!$B$3:$G$3,0),FALSE)),"")</f>
        <v>41500000</v>
      </c>
      <c r="CU101" s="86" t="str">
        <f>IF($CQ101="Y",IF($CS101="Revenue","N/A",VLOOKUP($CM101,'SBA Size Standards'!$B$3:$G$57,MATCH('SBA Size Standards'!$F$3,'SBA Size Standards'!$B$3:$G$3,0),FALSE)),"")</f>
        <v>N/A</v>
      </c>
      <c r="CV101" t="str">
        <f>IF($CQ101="Y",IF(OR(AND($CS101="Employment",$CL101&lt;$CU101),AND($CS101="Revenue",$CK101&lt;$CT101)),"YES","NO"),"")</f>
        <v>NO</v>
      </c>
      <c r="CW101" s="90" t="str">
        <f>IF($CQ101="Y",INDEX('SBA Size Standards'!$N$3:$N$12,MATCH($CK101,'SBA Size Standards'!$O$3:$O$12,1)),"")</f>
        <v>$5,000,001 - $100,000,000</v>
      </c>
      <c r="CX101" s="122" t="s">
        <v>4772</v>
      </c>
      <c r="CY101" s="122">
        <f>INDEX('NM O&amp;G Production'!$P$3:$P$537,MATCH(CX101,'NM O&amp;G Production'!$Q$3:$Q$537,0))</f>
        <v>494</v>
      </c>
      <c r="CZ101" s="122" t="str">
        <f>INDEX('NM O&amp;G Production'!$O$3:$O$537,MATCH(CY101,'NM O&amp;G Production'!$P$3:$P$537,0))</f>
        <v>Yes</v>
      </c>
      <c r="DA101" s="127">
        <f>INDEX('NM O&amp;G Production'!$K$3:$O$537,MATCH($CY101,'NM O&amp;G Production'!$P$3:$P$537,0),MATCH(DA$2,'NM O&amp;G Production'!$K$2:$O$2,0))</f>
        <v>2</v>
      </c>
      <c r="DB101" s="127">
        <f>INDEX('NM O&amp;G Production'!$K$3:$O$537,MATCH($CY101,'NM O&amp;G Production'!$P$3:$P$537,0),MATCH(DB$2,'NM O&amp;G Production'!$K$2:$O$2,0))</f>
        <v>4</v>
      </c>
      <c r="DC101" s="127">
        <f>DA101+DB101</f>
        <v>6</v>
      </c>
      <c r="DD101" s="127">
        <f>INDEX('NM O&amp;G Production'!$K$3:$O$537,MATCH($CY101,'NM O&amp;G Production'!$P$3:$P$537,0),MATCH(DD$2,'NM O&amp;G Production'!$K$2:$O$2,0))</f>
        <v>49143</v>
      </c>
      <c r="DE101" s="127">
        <f>INDEX('NM O&amp;G Production'!$K$3:$O$537,MATCH($CY101,'NM O&amp;G Production'!$P$3:$P$537,0),MATCH(DE$2,'NM O&amp;G Production'!$K$2:$O$2,0))</f>
        <v>9845</v>
      </c>
      <c r="DF101" s="258">
        <f>CK101/(DB101+DA101)</f>
        <v>8380438.333333333</v>
      </c>
      <c r="DG101" s="57">
        <f>DD101*(12/18)*1.06*'Oil and Gas Prices'!$C$18</f>
        <v>82999.250800000009</v>
      </c>
      <c r="DH101" s="284">
        <f>DE101*(12/18)*'Oil and Gas Prices'!$C$4</f>
        <v>295350</v>
      </c>
      <c r="DI101" s="284">
        <f>DG101+DH101</f>
        <v>378349.25080000004</v>
      </c>
      <c r="DJ101" s="57">
        <f>(DG101+DH101)/(DA101+DB101)</f>
        <v>63058.208466666671</v>
      </c>
      <c r="DK101" s="318"/>
    </row>
    <row r="102" spans="1:115" x14ac:dyDescent="0.25">
      <c r="A102" t="s">
        <v>2423</v>
      </c>
      <c r="B102" t="s">
        <v>2424</v>
      </c>
      <c r="D102" t="s">
        <v>153</v>
      </c>
      <c r="E102" t="s">
        <v>80</v>
      </c>
      <c r="F102">
        <v>79701</v>
      </c>
      <c r="G102" t="s">
        <v>62</v>
      </c>
      <c r="I102">
        <v>346</v>
      </c>
      <c r="J102" t="s">
        <v>63</v>
      </c>
      <c r="K102" t="s">
        <v>4133</v>
      </c>
      <c r="L102" t="s">
        <v>64</v>
      </c>
      <c r="M102">
        <v>10</v>
      </c>
      <c r="N102" t="s">
        <v>2425</v>
      </c>
      <c r="O102" t="s">
        <v>2426</v>
      </c>
      <c r="Q102" t="s">
        <v>2427</v>
      </c>
      <c r="R102" t="s">
        <v>153</v>
      </c>
      <c r="S102" t="s">
        <v>94</v>
      </c>
      <c r="T102" t="s">
        <v>2093</v>
      </c>
      <c r="U102" t="s">
        <v>62</v>
      </c>
      <c r="V102">
        <v>4326843727</v>
      </c>
      <c r="W102" s="1">
        <v>50000000</v>
      </c>
      <c r="X102">
        <v>34</v>
      </c>
      <c r="Y102">
        <v>34</v>
      </c>
      <c r="Z102">
        <v>1979</v>
      </c>
      <c r="AA102" t="s">
        <v>163</v>
      </c>
      <c r="AB102" t="s">
        <v>2428</v>
      </c>
      <c r="AC102" t="s">
        <v>98</v>
      </c>
      <c r="AD102" t="s">
        <v>99</v>
      </c>
      <c r="AE102">
        <v>1311</v>
      </c>
      <c r="AF102" t="s">
        <v>100</v>
      </c>
      <c r="AG102">
        <v>1382</v>
      </c>
      <c r="AH102" t="s">
        <v>120</v>
      </c>
      <c r="AI102">
        <v>13110101</v>
      </c>
      <c r="AJ102" t="s">
        <v>102</v>
      </c>
      <c r="AK102">
        <v>13820000</v>
      </c>
      <c r="AL102" t="s">
        <v>119</v>
      </c>
      <c r="AM102">
        <v>211120</v>
      </c>
      <c r="AN102" t="s">
        <v>104</v>
      </c>
      <c r="AO102">
        <v>213112</v>
      </c>
      <c r="AP102" t="s">
        <v>74</v>
      </c>
      <c r="AQ102" t="s">
        <v>75</v>
      </c>
      <c r="AR102" t="s">
        <v>2425</v>
      </c>
      <c r="AS102" t="s">
        <v>2426</v>
      </c>
      <c r="AT102" t="s">
        <v>427</v>
      </c>
      <c r="AU102" t="s">
        <v>80</v>
      </c>
      <c r="AV102" t="s">
        <v>62</v>
      </c>
      <c r="AW102" t="s">
        <v>2425</v>
      </c>
      <c r="AX102" t="s">
        <v>2426</v>
      </c>
      <c r="AY102" t="s">
        <v>80</v>
      </c>
      <c r="AZ102" t="s">
        <v>62</v>
      </c>
      <c r="BE102" t="s">
        <v>62</v>
      </c>
      <c r="BF102">
        <v>1</v>
      </c>
      <c r="BG102">
        <v>2</v>
      </c>
      <c r="BH102" s="4" t="s">
        <v>2425</v>
      </c>
      <c r="BI102" s="4" t="s">
        <v>2426</v>
      </c>
      <c r="BK102" s="4" t="s">
        <v>2427</v>
      </c>
      <c r="BL102" s="4" t="s">
        <v>153</v>
      </c>
      <c r="BM102" s="4" t="s">
        <v>94</v>
      </c>
      <c r="BN102" s="4" t="s">
        <v>2093</v>
      </c>
      <c r="BO102" s="4" t="s">
        <v>62</v>
      </c>
      <c r="BP102" s="4">
        <v>4326843727</v>
      </c>
      <c r="BQ102" s="5">
        <v>50000000</v>
      </c>
      <c r="BR102" s="4">
        <v>34</v>
      </c>
      <c r="BS102" s="4">
        <v>34</v>
      </c>
      <c r="BT102" s="4">
        <v>1979</v>
      </c>
      <c r="BU102" s="4" t="s">
        <v>163</v>
      </c>
      <c r="BV102" s="4" t="s">
        <v>2428</v>
      </c>
      <c r="BW102" s="4" t="s">
        <v>98</v>
      </c>
      <c r="BX102" s="4" t="s">
        <v>99</v>
      </c>
      <c r="BY102" s="4">
        <v>1311</v>
      </c>
      <c r="BZ102" s="4" t="s">
        <v>100</v>
      </c>
      <c r="CA102" s="4">
        <v>1382</v>
      </c>
      <c r="CB102" s="4" t="s">
        <v>120</v>
      </c>
      <c r="CC102" s="4">
        <v>13110101</v>
      </c>
      <c r="CD102" s="4" t="s">
        <v>102</v>
      </c>
      <c r="CE102" s="4">
        <v>13820000</v>
      </c>
      <c r="CF102" s="4" t="s">
        <v>119</v>
      </c>
      <c r="CG102" s="4">
        <v>211120</v>
      </c>
      <c r="CH102" s="4" t="s">
        <v>104</v>
      </c>
      <c r="CI102" s="4">
        <v>213112</v>
      </c>
      <c r="CJ102" s="4" t="s">
        <v>74</v>
      </c>
      <c r="CK102" s="19">
        <f>IF(BQ102&gt;0,BQ102,W102)</f>
        <v>50000000</v>
      </c>
      <c r="CL102" s="20">
        <f>IF(BS102&gt;0,BS102,Y102)</f>
        <v>34</v>
      </c>
      <c r="CM102" s="34">
        <f>IF(CG102&gt;0,CG102,AM102)</f>
        <v>211120</v>
      </c>
      <c r="CN102" s="80">
        <f>IF($BH102="",1,COUNTIF($BH$3:$BH102,$BH102))</f>
        <v>1</v>
      </c>
      <c r="CP102" t="str">
        <f>IF($K102="Standard Match","Match",IF($K102="Name Only Match",IF($CO102="Yes","Match","Name Only Match"),"No Match"))</f>
        <v>Match</v>
      </c>
      <c r="CQ102" s="35" t="str">
        <f>IF(AND(CP102="Match",CK102&gt;0,CL102&gt;0),"Y","N")</f>
        <v>Y</v>
      </c>
      <c r="CS102" t="str">
        <f>IF($CQ102="Y",VLOOKUP($CM102,'SBA Size Standards'!$B$3:$G$57,MATCH('SBA Size Standards'!$G$3,'SBA Size Standards'!$B$3:$G$3,0),FALSE),"")</f>
        <v>Employment</v>
      </c>
      <c r="CT102" s="60" t="str">
        <f>IF(CQ102="Y",IF($CS102="Employment","N/A",VLOOKUP($CM102,'SBA Size Standards'!$B$3:$G$57,MATCH('SBA Size Standards'!$E$3,'SBA Size Standards'!$B$3:$G$3,0),FALSE)),"")</f>
        <v>N/A</v>
      </c>
      <c r="CU102" s="86">
        <f>IF($CQ102="Y",IF($CS102="Revenue","N/A",VLOOKUP($CM102,'SBA Size Standards'!$B$3:$G$57,MATCH('SBA Size Standards'!$F$3,'SBA Size Standards'!$B$3:$G$3,0),FALSE)),"")</f>
        <v>1250</v>
      </c>
      <c r="CV102" t="str">
        <f>IF($CQ102="Y",IF(OR(AND($CS102="Employment",$CL102&lt;$CU102),AND($CS102="Revenue",$CK102&lt;$CT102)),"YES","NO"),"")</f>
        <v>YES</v>
      </c>
      <c r="CW102" s="90" t="str">
        <f>IF($CQ102="Y",INDEX('SBA Size Standards'!$N$3:$N$12,MATCH($CK102,'SBA Size Standards'!$O$3:$O$12,1)),"")</f>
        <v>$5,000,001 - $100,000,000</v>
      </c>
      <c r="CX102" s="122" t="s">
        <v>4695</v>
      </c>
      <c r="CY102" s="122">
        <f>INDEX('NM O&amp;G Production'!$P$3:$P$537,MATCH(CX102,'NM O&amp;G Production'!$Q$3:$Q$537,0))</f>
        <v>346</v>
      </c>
      <c r="CZ102" s="122" t="str">
        <f>INDEX('NM O&amp;G Production'!$O$3:$O$537,MATCH(CY102,'NM O&amp;G Production'!$P$3:$P$537,0))</f>
        <v>Yes</v>
      </c>
      <c r="DA102" s="127">
        <f>INDEX('NM O&amp;G Production'!$K$3:$O$537,MATCH($CY102,'NM O&amp;G Production'!$P$3:$P$537,0),MATCH(DA$2,'NM O&amp;G Production'!$K$2:$O$2,0))</f>
        <v>21</v>
      </c>
      <c r="DB102" s="127">
        <f>INDEX('NM O&amp;G Production'!$K$3:$O$537,MATCH($CY102,'NM O&amp;G Production'!$P$3:$P$537,0),MATCH(DB$2,'NM O&amp;G Production'!$K$2:$O$2,0))</f>
        <v>37</v>
      </c>
      <c r="DC102" s="127">
        <f>DA102+DB102</f>
        <v>58</v>
      </c>
      <c r="DD102" s="127">
        <f>INDEX('NM O&amp;G Production'!$K$3:$O$537,MATCH($CY102,'NM O&amp;G Production'!$P$3:$P$537,0),MATCH(DD$2,'NM O&amp;G Production'!$K$2:$O$2,0))</f>
        <v>1312649</v>
      </c>
      <c r="DE102" s="127">
        <f>INDEX('NM O&amp;G Production'!$K$3:$O$537,MATCH($CY102,'NM O&amp;G Production'!$P$3:$P$537,0),MATCH(DE$2,'NM O&amp;G Production'!$K$2:$O$2,0))</f>
        <v>0</v>
      </c>
      <c r="DF102" s="258">
        <f>CK102/(DB102+DA102)</f>
        <v>862068.96551724139</v>
      </c>
      <c r="DG102" s="57">
        <f>DD102*(12/18)*1.06*'Oil and Gas Prices'!$C$18</f>
        <v>2216976.6510666669</v>
      </c>
      <c r="DH102" s="284">
        <f>DE102*(12/18)*'Oil and Gas Prices'!$C$4</f>
        <v>0</v>
      </c>
      <c r="DI102" s="284">
        <f>DG102+DH102</f>
        <v>2216976.6510666669</v>
      </c>
      <c r="DJ102" s="57">
        <f>(DG102+DH102)/(DA102+DB102)</f>
        <v>38223.735363218395</v>
      </c>
      <c r="DK102" s="319"/>
    </row>
    <row r="103" spans="1:115" x14ac:dyDescent="0.25">
      <c r="A103" t="s">
        <v>451</v>
      </c>
      <c r="B103" t="s">
        <v>452</v>
      </c>
      <c r="D103" t="s">
        <v>418</v>
      </c>
      <c r="E103" t="s">
        <v>80</v>
      </c>
      <c r="F103">
        <v>76308</v>
      </c>
      <c r="G103" t="s">
        <v>62</v>
      </c>
      <c r="I103">
        <v>55</v>
      </c>
      <c r="J103" t="s">
        <v>63</v>
      </c>
      <c r="K103" t="s">
        <v>4133</v>
      </c>
      <c r="L103" t="s">
        <v>149</v>
      </c>
      <c r="M103">
        <v>10</v>
      </c>
      <c r="N103" t="s">
        <v>453</v>
      </c>
      <c r="O103" t="s">
        <v>454</v>
      </c>
      <c r="Q103" t="s">
        <v>455</v>
      </c>
      <c r="R103" t="s">
        <v>418</v>
      </c>
      <c r="S103" t="s">
        <v>94</v>
      </c>
      <c r="T103" t="s">
        <v>456</v>
      </c>
      <c r="U103" t="s">
        <v>62</v>
      </c>
      <c r="V103">
        <v>9403978600</v>
      </c>
      <c r="W103" s="1">
        <v>49377380</v>
      </c>
      <c r="X103">
        <v>32</v>
      </c>
      <c r="Y103">
        <v>50</v>
      </c>
      <c r="Z103">
        <v>2001</v>
      </c>
      <c r="AA103" t="s">
        <v>163</v>
      </c>
      <c r="AB103" t="s">
        <v>457</v>
      </c>
      <c r="AC103" t="s">
        <v>165</v>
      </c>
      <c r="AD103" t="s">
        <v>99</v>
      </c>
      <c r="AE103">
        <v>1311</v>
      </c>
      <c r="AF103" t="s">
        <v>100</v>
      </c>
      <c r="AG103">
        <v>1389</v>
      </c>
      <c r="AH103" t="s">
        <v>72</v>
      </c>
      <c r="AI103">
        <v>13110101</v>
      </c>
      <c r="AJ103" t="s">
        <v>102</v>
      </c>
      <c r="AK103">
        <v>13899904</v>
      </c>
      <c r="AL103" t="s">
        <v>201</v>
      </c>
      <c r="AM103">
        <v>211120</v>
      </c>
      <c r="AN103" t="s">
        <v>104</v>
      </c>
      <c r="AO103">
        <v>213112</v>
      </c>
      <c r="AP103" t="s">
        <v>74</v>
      </c>
      <c r="AQ103" t="s">
        <v>75</v>
      </c>
      <c r="AR103" t="s">
        <v>453</v>
      </c>
      <c r="AS103" t="s">
        <v>454</v>
      </c>
      <c r="AT103" t="s">
        <v>427</v>
      </c>
      <c r="AU103" t="s">
        <v>80</v>
      </c>
      <c r="AV103" t="s">
        <v>62</v>
      </c>
      <c r="AW103" t="s">
        <v>453</v>
      </c>
      <c r="AX103" t="s">
        <v>454</v>
      </c>
      <c r="AY103" t="s">
        <v>80</v>
      </c>
      <c r="AZ103" t="s">
        <v>62</v>
      </c>
      <c r="BE103" t="s">
        <v>62</v>
      </c>
      <c r="BF103">
        <v>1</v>
      </c>
      <c r="BG103">
        <v>8</v>
      </c>
      <c r="BH103" s="4" t="s">
        <v>453</v>
      </c>
      <c r="BI103" s="4" t="s">
        <v>454</v>
      </c>
      <c r="BK103" s="4" t="s">
        <v>455</v>
      </c>
      <c r="BL103" s="4" t="s">
        <v>418</v>
      </c>
      <c r="BM103" s="4" t="s">
        <v>94</v>
      </c>
      <c r="BN103" s="4" t="s">
        <v>456</v>
      </c>
      <c r="BO103" s="4" t="s">
        <v>62</v>
      </c>
      <c r="BP103" s="4">
        <v>9403978600</v>
      </c>
      <c r="BQ103" s="5">
        <v>49377380</v>
      </c>
      <c r="BR103" s="4">
        <v>32</v>
      </c>
      <c r="BS103" s="4">
        <v>50</v>
      </c>
      <c r="BT103" s="4">
        <v>2001</v>
      </c>
      <c r="BU103" s="4" t="s">
        <v>163</v>
      </c>
      <c r="BV103" s="4" t="s">
        <v>457</v>
      </c>
      <c r="BW103" s="4" t="s">
        <v>165</v>
      </c>
      <c r="BX103" s="4" t="s">
        <v>99</v>
      </c>
      <c r="BY103" s="4">
        <v>1311</v>
      </c>
      <c r="BZ103" s="4" t="s">
        <v>100</v>
      </c>
      <c r="CA103" s="4">
        <v>1389</v>
      </c>
      <c r="CB103" s="4" t="s">
        <v>72</v>
      </c>
      <c r="CC103" s="4">
        <v>13110101</v>
      </c>
      <c r="CD103" s="4" t="s">
        <v>102</v>
      </c>
      <c r="CE103" s="4">
        <v>13899904</v>
      </c>
      <c r="CF103" s="4" t="s">
        <v>201</v>
      </c>
      <c r="CG103" s="4">
        <v>211120</v>
      </c>
      <c r="CH103" s="4" t="s">
        <v>104</v>
      </c>
      <c r="CI103" s="4">
        <v>213112</v>
      </c>
      <c r="CJ103" s="4" t="s">
        <v>74</v>
      </c>
      <c r="CK103" s="19">
        <f>IF(BQ103&gt;0,BQ103,W103)</f>
        <v>49377380</v>
      </c>
      <c r="CL103" s="20">
        <f>IF(BS103&gt;0,BS103,Y103)</f>
        <v>50</v>
      </c>
      <c r="CM103" s="34">
        <f>IF(CG103&gt;0,CG103,AM103)</f>
        <v>211120</v>
      </c>
      <c r="CN103" s="80">
        <f>IF($BH103="",1,COUNTIF($BH$3:$BH103,$BH103))</f>
        <v>1</v>
      </c>
      <c r="CP103" t="str">
        <f>IF($K103="Standard Match","Match",IF($K103="Name Only Match",IF($CO103="Yes","Match","Name Only Match"),"No Match"))</f>
        <v>Match</v>
      </c>
      <c r="CQ103" s="35" t="str">
        <f>IF(AND(CP103="Match",CK103&gt;0,CL103&gt;0),"Y","N")</f>
        <v>Y</v>
      </c>
      <c r="CS103" t="str">
        <f>IF($CQ103="Y",VLOOKUP($CM103,'SBA Size Standards'!$B$3:$G$57,MATCH('SBA Size Standards'!$G$3,'SBA Size Standards'!$B$3:$G$3,0),FALSE),"")</f>
        <v>Employment</v>
      </c>
      <c r="CT103" s="60" t="str">
        <f>IF(CQ103="Y",IF($CS103="Employment","N/A",VLOOKUP($CM103,'SBA Size Standards'!$B$3:$G$57,MATCH('SBA Size Standards'!$E$3,'SBA Size Standards'!$B$3:$G$3,0),FALSE)),"")</f>
        <v>N/A</v>
      </c>
      <c r="CU103" s="86">
        <f>IF($CQ103="Y",IF($CS103="Revenue","N/A",VLOOKUP($CM103,'SBA Size Standards'!$B$3:$G$57,MATCH('SBA Size Standards'!$F$3,'SBA Size Standards'!$B$3:$G$3,0),FALSE)),"")</f>
        <v>1250</v>
      </c>
      <c r="CV103" t="str">
        <f>IF($CQ103="Y",IF(OR(AND($CS103="Employment",$CL103&lt;$CU103),AND($CS103="Revenue",$CK103&lt;$CT103)),"YES","NO"),"")</f>
        <v>YES</v>
      </c>
      <c r="CW103" s="90" t="str">
        <f>IF($CQ103="Y",INDEX('SBA Size Standards'!$N$3:$N$12,MATCH($CK103,'SBA Size Standards'!$O$3:$O$12,1)),"")</f>
        <v>$5,000,001 - $100,000,000</v>
      </c>
      <c r="CX103" s="122" t="s">
        <v>4555</v>
      </c>
      <c r="CY103" s="122">
        <f>INDEX('NM O&amp;G Production'!$P$3:$P$537,MATCH(CX103,'NM O&amp;G Production'!$Q$3:$Q$537,0))</f>
        <v>55</v>
      </c>
      <c r="CZ103" s="122" t="str">
        <f>INDEX('NM O&amp;G Production'!$O$3:$O$537,MATCH(CY103,'NM O&amp;G Production'!$P$3:$P$537,0))</f>
        <v>Yes</v>
      </c>
      <c r="DA103" s="127">
        <f>INDEX('NM O&amp;G Production'!$K$3:$O$537,MATCH($CY103,'NM O&amp;G Production'!$P$3:$P$537,0),MATCH(DA$2,'NM O&amp;G Production'!$K$2:$O$2,0))</f>
        <v>2</v>
      </c>
      <c r="DB103" s="127">
        <f>INDEX('NM O&amp;G Production'!$K$3:$O$537,MATCH($CY103,'NM O&amp;G Production'!$P$3:$P$537,0),MATCH(DB$2,'NM O&amp;G Production'!$K$2:$O$2,0))</f>
        <v>7</v>
      </c>
      <c r="DC103" s="127">
        <f>DA103+DB103</f>
        <v>9</v>
      </c>
      <c r="DD103" s="127">
        <f>INDEX('NM O&amp;G Production'!$K$3:$O$537,MATCH($CY103,'NM O&amp;G Production'!$P$3:$P$537,0),MATCH(DD$2,'NM O&amp;G Production'!$K$2:$O$2,0))</f>
        <v>512</v>
      </c>
      <c r="DE103" s="127">
        <f>INDEX('NM O&amp;G Production'!$K$3:$O$537,MATCH($CY103,'NM O&amp;G Production'!$P$3:$P$537,0),MATCH(DE$2,'NM O&amp;G Production'!$K$2:$O$2,0))</f>
        <v>24746</v>
      </c>
      <c r="DF103" s="258">
        <f>CK103/(DB103+DA103)</f>
        <v>5486375.555555556</v>
      </c>
      <c r="DG103" s="57">
        <f>DD103*(12/18)*1.06*'Oil and Gas Prices'!$C$18</f>
        <v>864.7338666666667</v>
      </c>
      <c r="DH103" s="284">
        <f>DE103*(12/18)*'Oil and Gas Prices'!$C$4</f>
        <v>742380</v>
      </c>
      <c r="DI103" s="284">
        <f>DG103+DH103</f>
        <v>743244.73386666668</v>
      </c>
      <c r="DJ103" s="57">
        <f>(DG103+DH103)/(DA103+DB103)</f>
        <v>82582.748207407407</v>
      </c>
      <c r="DK103" s="318"/>
    </row>
    <row r="104" spans="1:115" x14ac:dyDescent="0.25">
      <c r="A104" t="s">
        <v>1729</v>
      </c>
      <c r="B104" t="s">
        <v>1730</v>
      </c>
      <c r="D104" t="s">
        <v>60</v>
      </c>
      <c r="E104" t="s">
        <v>61</v>
      </c>
      <c r="F104">
        <v>80202</v>
      </c>
      <c r="G104" t="s">
        <v>62</v>
      </c>
      <c r="I104">
        <v>238</v>
      </c>
      <c r="J104" t="s">
        <v>63</v>
      </c>
      <c r="K104" t="s">
        <v>4133</v>
      </c>
      <c r="L104" t="s">
        <v>64</v>
      </c>
      <c r="M104">
        <v>10</v>
      </c>
      <c r="N104" t="s">
        <v>1731</v>
      </c>
      <c r="O104" t="s">
        <v>1732</v>
      </c>
      <c r="Q104" t="s">
        <v>1733</v>
      </c>
      <c r="R104" t="s">
        <v>60</v>
      </c>
      <c r="S104" t="s">
        <v>68</v>
      </c>
      <c r="T104" t="s">
        <v>1734</v>
      </c>
      <c r="U104" t="s">
        <v>62</v>
      </c>
      <c r="V104">
        <v>3038254822</v>
      </c>
      <c r="W104" s="1">
        <v>47581601</v>
      </c>
      <c r="X104">
        <v>16</v>
      </c>
      <c r="Y104">
        <v>115</v>
      </c>
      <c r="Z104">
        <v>1984</v>
      </c>
      <c r="AA104" t="s">
        <v>163</v>
      </c>
      <c r="AB104" t="s">
        <v>1735</v>
      </c>
      <c r="AC104" t="s">
        <v>133</v>
      </c>
      <c r="AD104" t="s">
        <v>517</v>
      </c>
      <c r="AE104">
        <v>1381</v>
      </c>
      <c r="AF104" t="s">
        <v>518</v>
      </c>
      <c r="AG104">
        <v>4789</v>
      </c>
      <c r="AH104" t="s">
        <v>1154</v>
      </c>
      <c r="AI104">
        <v>13819901</v>
      </c>
      <c r="AJ104" t="s">
        <v>1736</v>
      </c>
      <c r="AK104">
        <v>47890100</v>
      </c>
      <c r="AL104" t="s">
        <v>1737</v>
      </c>
      <c r="AM104">
        <v>213111</v>
      </c>
      <c r="AN104" t="s">
        <v>518</v>
      </c>
      <c r="AO104">
        <v>488210</v>
      </c>
      <c r="AP104" t="s">
        <v>1738</v>
      </c>
      <c r="AQ104" t="s">
        <v>75</v>
      </c>
      <c r="AR104" t="s">
        <v>1731</v>
      </c>
      <c r="AS104" t="s">
        <v>1732</v>
      </c>
      <c r="AT104" t="s">
        <v>427</v>
      </c>
      <c r="AU104" t="s">
        <v>61</v>
      </c>
      <c r="AV104" t="s">
        <v>62</v>
      </c>
      <c r="AW104" t="s">
        <v>1731</v>
      </c>
      <c r="AX104" t="s">
        <v>1732</v>
      </c>
      <c r="AY104" t="s">
        <v>61</v>
      </c>
      <c r="AZ104" t="s">
        <v>62</v>
      </c>
      <c r="BE104" t="s">
        <v>62</v>
      </c>
      <c r="BF104">
        <v>1</v>
      </c>
      <c r="BG104">
        <v>3</v>
      </c>
      <c r="BH104" s="4" t="s">
        <v>1731</v>
      </c>
      <c r="BI104" s="4" t="s">
        <v>1732</v>
      </c>
      <c r="BK104" s="4" t="s">
        <v>1733</v>
      </c>
      <c r="BL104" s="4" t="s">
        <v>60</v>
      </c>
      <c r="BM104" s="4" t="s">
        <v>68</v>
      </c>
      <c r="BN104" s="4" t="s">
        <v>1734</v>
      </c>
      <c r="BO104" s="4" t="s">
        <v>62</v>
      </c>
      <c r="BP104" s="4">
        <v>3038254822</v>
      </c>
      <c r="BQ104" s="5">
        <v>47581601</v>
      </c>
      <c r="BR104" s="4">
        <v>16</v>
      </c>
      <c r="BS104" s="4">
        <v>115</v>
      </c>
      <c r="BT104" s="4">
        <v>1984</v>
      </c>
      <c r="BU104" s="4" t="s">
        <v>163</v>
      </c>
      <c r="BV104" s="4" t="s">
        <v>1735</v>
      </c>
      <c r="BW104" s="4" t="s">
        <v>133</v>
      </c>
      <c r="BX104" s="4" t="s">
        <v>517</v>
      </c>
      <c r="BY104" s="4">
        <v>1381</v>
      </c>
      <c r="BZ104" s="4" t="s">
        <v>518</v>
      </c>
      <c r="CA104" s="4">
        <v>4789</v>
      </c>
      <c r="CB104" s="4" t="s">
        <v>1154</v>
      </c>
      <c r="CC104" s="4">
        <v>13819901</v>
      </c>
      <c r="CD104" s="4" t="s">
        <v>1736</v>
      </c>
      <c r="CE104" s="4">
        <v>47890100</v>
      </c>
      <c r="CF104" s="4" t="s">
        <v>1737</v>
      </c>
      <c r="CG104" s="4">
        <v>213111</v>
      </c>
      <c r="CH104" s="4" t="s">
        <v>518</v>
      </c>
      <c r="CI104" s="4">
        <v>488210</v>
      </c>
      <c r="CJ104" s="4" t="s">
        <v>1738</v>
      </c>
      <c r="CK104" s="19">
        <f>IF(BQ104&gt;0,BQ104,W104)</f>
        <v>47581601</v>
      </c>
      <c r="CL104" s="20">
        <f>IF(BS104&gt;0,BS104,Y104)</f>
        <v>115</v>
      </c>
      <c r="CM104" s="34">
        <f>IF(CG104&gt;0,CG104,AM104)</f>
        <v>213111</v>
      </c>
      <c r="CN104" s="80">
        <f>IF($BH104="",1,COUNTIF($BH$3:$BH104,$BH104))</f>
        <v>1</v>
      </c>
      <c r="CP104" t="str">
        <f>IF($K104="Standard Match","Match",IF($K104="Name Only Match",IF($CO104="Yes","Match","Name Only Match"),"No Match"))</f>
        <v>Match</v>
      </c>
      <c r="CQ104" s="35" t="str">
        <f>IF(AND(CP104="Match",CK104&gt;0,CL104&gt;0),"Y","N")</f>
        <v>Y</v>
      </c>
      <c r="CS104" t="str">
        <f>IF($CQ104="Y",VLOOKUP($CM104,'SBA Size Standards'!$B$3:$G$57,MATCH('SBA Size Standards'!$G$3,'SBA Size Standards'!$B$3:$G$3,0),FALSE),"")</f>
        <v>Employment</v>
      </c>
      <c r="CT104" s="60" t="str">
        <f>IF(CQ104="Y",IF($CS104="Employment","N/A",VLOOKUP($CM104,'SBA Size Standards'!$B$3:$G$57,MATCH('SBA Size Standards'!$E$3,'SBA Size Standards'!$B$3:$G$3,0),FALSE)),"")</f>
        <v>N/A</v>
      </c>
      <c r="CU104" s="86">
        <f>IF($CQ104="Y",IF($CS104="Revenue","N/A",VLOOKUP($CM104,'SBA Size Standards'!$B$3:$G$57,MATCH('SBA Size Standards'!$F$3,'SBA Size Standards'!$B$3:$G$3,0),FALSE)),"")</f>
        <v>1000</v>
      </c>
      <c r="CV104" t="str">
        <f>IF($CQ104="Y",IF(OR(AND($CS104="Employment",$CL104&lt;$CU104),AND($CS104="Revenue",$CK104&lt;$CT104)),"YES","NO"),"")</f>
        <v>YES</v>
      </c>
      <c r="CW104" s="90" t="str">
        <f>IF($CQ104="Y",INDEX('SBA Size Standards'!$N$3:$N$12,MATCH($CK104,'SBA Size Standards'!$O$3:$O$12,1)),"")</f>
        <v>$5,000,001 - $100,000,000</v>
      </c>
      <c r="CX104" s="122" t="s">
        <v>4650</v>
      </c>
      <c r="CY104" s="122">
        <f>INDEX('NM O&amp;G Production'!$P$3:$P$537,MATCH(CX104,'NM O&amp;G Production'!$Q$3:$Q$537,0))</f>
        <v>238</v>
      </c>
      <c r="CZ104" s="122" t="str">
        <f>INDEX('NM O&amp;G Production'!$O$3:$O$537,MATCH(CY104,'NM O&amp;G Production'!$P$3:$P$537,0))</f>
        <v>Yes</v>
      </c>
      <c r="DA104" s="127">
        <f>INDEX('NM O&amp;G Production'!$K$3:$O$537,MATCH($CY104,'NM O&amp;G Production'!$P$3:$P$537,0),MATCH(DA$2,'NM O&amp;G Production'!$K$2:$O$2,0))</f>
        <v>27</v>
      </c>
      <c r="DB104" s="127">
        <f>INDEX('NM O&amp;G Production'!$K$3:$O$537,MATCH($CY104,'NM O&amp;G Production'!$P$3:$P$537,0),MATCH(DB$2,'NM O&amp;G Production'!$K$2:$O$2,0))</f>
        <v>49</v>
      </c>
      <c r="DC104" s="127">
        <f>DA104+DB104</f>
        <v>76</v>
      </c>
      <c r="DD104" s="127">
        <f>INDEX('NM O&amp;G Production'!$K$3:$O$537,MATCH($CY104,'NM O&amp;G Production'!$P$3:$P$537,0),MATCH(DD$2,'NM O&amp;G Production'!$K$2:$O$2,0))</f>
        <v>25873</v>
      </c>
      <c r="DE104" s="127">
        <f>INDEX('NM O&amp;G Production'!$K$3:$O$537,MATCH($CY104,'NM O&amp;G Production'!$P$3:$P$537,0),MATCH(DE$2,'NM O&amp;G Production'!$K$2:$O$2,0))</f>
        <v>37255</v>
      </c>
      <c r="DF104" s="258">
        <f>CK104/(DB104+DA104)</f>
        <v>626073.69736842101</v>
      </c>
      <c r="DG104" s="57">
        <f>DD104*(12/18)*1.06*'Oil and Gas Prices'!$C$18</f>
        <v>43697.772133333332</v>
      </c>
      <c r="DH104" s="284">
        <f>DE104*(12/18)*'Oil and Gas Prices'!$C$4</f>
        <v>1117650</v>
      </c>
      <c r="DI104" s="284">
        <f>DG104+DH104</f>
        <v>1161347.7721333334</v>
      </c>
      <c r="DJ104" s="57">
        <f>(DG104+DH104)/(DA104+DB104)</f>
        <v>15280.891738596492</v>
      </c>
      <c r="DK104" s="319"/>
    </row>
    <row r="105" spans="1:115" x14ac:dyDescent="0.25">
      <c r="A105" t="s">
        <v>1304</v>
      </c>
      <c r="B105" t="s">
        <v>1305</v>
      </c>
      <c r="D105" t="s">
        <v>88</v>
      </c>
      <c r="E105" t="s">
        <v>80</v>
      </c>
      <c r="F105">
        <v>76102</v>
      </c>
      <c r="G105" t="s">
        <v>62</v>
      </c>
      <c r="I105">
        <v>170</v>
      </c>
      <c r="J105" t="s">
        <v>63</v>
      </c>
      <c r="K105" t="s">
        <v>4133</v>
      </c>
      <c r="L105" t="s">
        <v>64</v>
      </c>
      <c r="M105">
        <v>10</v>
      </c>
      <c r="N105" t="s">
        <v>1306</v>
      </c>
      <c r="O105" t="s">
        <v>1307</v>
      </c>
      <c r="P105" t="s">
        <v>1308</v>
      </c>
      <c r="Q105" t="s">
        <v>1309</v>
      </c>
      <c r="R105" t="s">
        <v>88</v>
      </c>
      <c r="S105" t="s">
        <v>94</v>
      </c>
      <c r="T105" t="s">
        <v>1310</v>
      </c>
      <c r="U105" t="s">
        <v>62</v>
      </c>
      <c r="V105">
        <v>8173361924</v>
      </c>
      <c r="W105" s="1">
        <v>46785119</v>
      </c>
      <c r="X105">
        <v>95</v>
      </c>
      <c r="Y105">
        <v>95</v>
      </c>
      <c r="Z105">
        <v>1993</v>
      </c>
      <c r="AA105" t="s">
        <v>70</v>
      </c>
      <c r="AB105" t="s">
        <v>1311</v>
      </c>
      <c r="AC105" t="s">
        <v>133</v>
      </c>
      <c r="AD105" t="s">
        <v>119</v>
      </c>
      <c r="AE105">
        <v>1382</v>
      </c>
      <c r="AF105" t="s">
        <v>120</v>
      </c>
      <c r="AG105">
        <v>1381</v>
      </c>
      <c r="AH105" t="s">
        <v>518</v>
      </c>
      <c r="AI105">
        <v>13820000</v>
      </c>
      <c r="AJ105" t="s">
        <v>119</v>
      </c>
      <c r="AK105">
        <v>13810000</v>
      </c>
      <c r="AL105" t="s">
        <v>519</v>
      </c>
      <c r="AM105">
        <v>213112</v>
      </c>
      <c r="AN105" t="s">
        <v>74</v>
      </c>
      <c r="AO105">
        <v>213111</v>
      </c>
      <c r="AP105" t="s">
        <v>518</v>
      </c>
      <c r="AQ105" t="s">
        <v>75</v>
      </c>
      <c r="AT105" t="s">
        <v>76</v>
      </c>
      <c r="BF105">
        <v>0</v>
      </c>
      <c r="BG105">
        <v>0</v>
      </c>
      <c r="CK105" s="19">
        <f>IF(BQ105&gt;0,BQ105,W105)</f>
        <v>46785119</v>
      </c>
      <c r="CL105" s="20">
        <f>IF(BS105&gt;0,BS105,Y105)</f>
        <v>95</v>
      </c>
      <c r="CM105" s="34">
        <f>IF(CG105&gt;0,CG105,AM105)</f>
        <v>213112</v>
      </c>
      <c r="CN105" s="80">
        <f>IF($BH105="",1,COUNTIF($BH$3:$BH105,$BH105))</f>
        <v>1</v>
      </c>
      <c r="CP105" t="str">
        <f>IF($K105="Standard Match","Match",IF($K105="Name Only Match",IF($CO105="Yes","Match","Name Only Match"),"No Match"))</f>
        <v>Match</v>
      </c>
      <c r="CQ105" s="35" t="str">
        <f>IF(AND(CP105="Match",CK105&gt;0,CL105&gt;0),"Y","N")</f>
        <v>Y</v>
      </c>
      <c r="CS105" t="str">
        <f>IF($CQ105="Y",VLOOKUP($CM105,'SBA Size Standards'!$B$3:$G$57,MATCH('SBA Size Standards'!$G$3,'SBA Size Standards'!$B$3:$G$3,0),FALSE),"")</f>
        <v>Revenue</v>
      </c>
      <c r="CT105" s="60">
        <f>IF(CQ105="Y",IF($CS105="Employment","N/A",VLOOKUP($CM105,'SBA Size Standards'!$B$3:$G$57,MATCH('SBA Size Standards'!$E$3,'SBA Size Standards'!$B$3:$G$3,0),FALSE)),"")</f>
        <v>41500000</v>
      </c>
      <c r="CU105" s="86" t="str">
        <f>IF($CQ105="Y",IF($CS105="Revenue","N/A",VLOOKUP($CM105,'SBA Size Standards'!$B$3:$G$57,MATCH('SBA Size Standards'!$F$3,'SBA Size Standards'!$B$3:$G$3,0),FALSE)),"")</f>
        <v>N/A</v>
      </c>
      <c r="CV105" t="str">
        <f>IF($CQ105="Y",IF(OR(AND($CS105="Employment",$CL105&lt;$CU105),AND($CS105="Revenue",$CK105&lt;$CT105)),"YES","NO"),"")</f>
        <v>NO</v>
      </c>
      <c r="CW105" s="90" t="str">
        <f>IF($CQ105="Y",INDEX('SBA Size Standards'!$N$3:$N$12,MATCH($CK105,'SBA Size Standards'!$O$3:$O$12,1)),"")</f>
        <v>$5,000,001 - $100,000,000</v>
      </c>
      <c r="CX105" s="122" t="s">
        <v>4610</v>
      </c>
      <c r="CY105" s="122">
        <f>INDEX('NM O&amp;G Production'!$P$3:$P$537,MATCH(CX105,'NM O&amp;G Production'!$Q$3:$Q$537,0))</f>
        <v>170</v>
      </c>
      <c r="CZ105" s="122" t="str">
        <f>INDEX('NM O&amp;G Production'!$O$3:$O$537,MATCH(CY105,'NM O&amp;G Production'!$P$3:$P$537,0))</f>
        <v>Yes</v>
      </c>
      <c r="DA105" s="127">
        <f>INDEX('NM O&amp;G Production'!$K$3:$O$537,MATCH($CY105,'NM O&amp;G Production'!$P$3:$P$537,0),MATCH(DA$2,'NM O&amp;G Production'!$K$2:$O$2,0))</f>
        <v>2</v>
      </c>
      <c r="DB105" s="127">
        <f>INDEX('NM O&amp;G Production'!$K$3:$O$537,MATCH($CY105,'NM O&amp;G Production'!$P$3:$P$537,0),MATCH(DB$2,'NM O&amp;G Production'!$K$2:$O$2,0))</f>
        <v>0</v>
      </c>
      <c r="DC105" s="127">
        <f>DA105+DB105</f>
        <v>2</v>
      </c>
      <c r="DD105" s="127">
        <f>INDEX('NM O&amp;G Production'!$K$3:$O$537,MATCH($CY105,'NM O&amp;G Production'!$P$3:$P$537,0),MATCH(DD$2,'NM O&amp;G Production'!$K$2:$O$2,0))</f>
        <v>2081</v>
      </c>
      <c r="DE105" s="127">
        <f>INDEX('NM O&amp;G Production'!$K$3:$O$537,MATCH($CY105,'NM O&amp;G Production'!$P$3:$P$537,0),MATCH(DE$2,'NM O&amp;G Production'!$K$2:$O$2,0))</f>
        <v>6220</v>
      </c>
      <c r="DF105" s="258">
        <f>CK105/(DB105+DA105)</f>
        <v>23392559.5</v>
      </c>
      <c r="DG105" s="57">
        <f>DD105*(12/18)*1.06*'Oil and Gas Prices'!$C$18</f>
        <v>3514.6702666666665</v>
      </c>
      <c r="DH105" s="284">
        <f>DE105*(12/18)*'Oil and Gas Prices'!$C$4</f>
        <v>186599.99999999997</v>
      </c>
      <c r="DI105" s="284">
        <f>DG105+DH105</f>
        <v>190114.67026666662</v>
      </c>
      <c r="DJ105" s="57">
        <f>(DG105+DH105)/(DA105+DB105)</f>
        <v>95057.335133333312</v>
      </c>
      <c r="DK105" s="318"/>
    </row>
    <row r="106" spans="1:115" x14ac:dyDescent="0.25">
      <c r="A106" t="s">
        <v>461</v>
      </c>
      <c r="B106" t="s">
        <v>462</v>
      </c>
      <c r="D106" t="s">
        <v>88</v>
      </c>
      <c r="E106" t="s">
        <v>80</v>
      </c>
      <c r="F106">
        <v>76102</v>
      </c>
      <c r="G106" t="s">
        <v>62</v>
      </c>
      <c r="I106">
        <v>57</v>
      </c>
      <c r="J106" t="s">
        <v>63</v>
      </c>
      <c r="K106" t="s">
        <v>4133</v>
      </c>
      <c r="L106" t="s">
        <v>64</v>
      </c>
      <c r="M106">
        <v>10</v>
      </c>
      <c r="N106" t="s">
        <v>463</v>
      </c>
      <c r="O106" t="s">
        <v>464</v>
      </c>
      <c r="Q106" t="s">
        <v>465</v>
      </c>
      <c r="R106" t="s">
        <v>88</v>
      </c>
      <c r="S106" t="s">
        <v>94</v>
      </c>
      <c r="T106" t="s">
        <v>466</v>
      </c>
      <c r="U106" t="s">
        <v>62</v>
      </c>
      <c r="V106">
        <v>8173325108</v>
      </c>
      <c r="W106" s="1">
        <v>44620258</v>
      </c>
      <c r="X106">
        <v>26</v>
      </c>
      <c r="Y106">
        <v>35</v>
      </c>
      <c r="Z106">
        <v>1980</v>
      </c>
      <c r="AA106" t="s">
        <v>163</v>
      </c>
      <c r="AB106" t="s">
        <v>467</v>
      </c>
      <c r="AC106" t="s">
        <v>98</v>
      </c>
      <c r="AD106" t="s">
        <v>119</v>
      </c>
      <c r="AE106">
        <v>1382</v>
      </c>
      <c r="AF106" t="s">
        <v>120</v>
      </c>
      <c r="AG106">
        <v>1311</v>
      </c>
      <c r="AH106" t="s">
        <v>100</v>
      </c>
      <c r="AI106">
        <v>13820000</v>
      </c>
      <c r="AJ106" t="s">
        <v>119</v>
      </c>
      <c r="AK106">
        <v>13110101</v>
      </c>
      <c r="AL106" t="s">
        <v>102</v>
      </c>
      <c r="AM106">
        <v>213112</v>
      </c>
      <c r="AN106" t="s">
        <v>74</v>
      </c>
      <c r="AO106">
        <v>211120</v>
      </c>
      <c r="AP106" t="s">
        <v>104</v>
      </c>
      <c r="AQ106" t="s">
        <v>75</v>
      </c>
      <c r="AR106" t="s">
        <v>463</v>
      </c>
      <c r="AS106" t="s">
        <v>464</v>
      </c>
      <c r="AT106" t="s">
        <v>427</v>
      </c>
      <c r="AU106" t="s">
        <v>80</v>
      </c>
      <c r="AV106" t="s">
        <v>62</v>
      </c>
      <c r="AW106" t="s">
        <v>463</v>
      </c>
      <c r="AX106" t="s">
        <v>464</v>
      </c>
      <c r="AY106" t="s">
        <v>80</v>
      </c>
      <c r="AZ106" t="s">
        <v>62</v>
      </c>
      <c r="BE106" t="s">
        <v>62</v>
      </c>
      <c r="BF106">
        <v>1</v>
      </c>
      <c r="BG106">
        <v>5</v>
      </c>
      <c r="BH106" s="4" t="s">
        <v>463</v>
      </c>
      <c r="BI106" s="4" t="s">
        <v>464</v>
      </c>
      <c r="BK106" s="4" t="s">
        <v>465</v>
      </c>
      <c r="BL106" s="4" t="s">
        <v>88</v>
      </c>
      <c r="BM106" s="4" t="s">
        <v>94</v>
      </c>
      <c r="BN106" s="4" t="s">
        <v>466</v>
      </c>
      <c r="BO106" s="4" t="s">
        <v>62</v>
      </c>
      <c r="BP106" s="4">
        <v>8173325108</v>
      </c>
      <c r="BQ106" s="5">
        <v>44620258</v>
      </c>
      <c r="BR106" s="4">
        <v>26</v>
      </c>
      <c r="BS106" s="4">
        <v>35</v>
      </c>
      <c r="BT106" s="4">
        <v>1980</v>
      </c>
      <c r="BU106" s="4" t="s">
        <v>163</v>
      </c>
      <c r="BV106" s="4" t="s">
        <v>467</v>
      </c>
      <c r="BW106" s="4" t="s">
        <v>98</v>
      </c>
      <c r="BX106" s="4" t="s">
        <v>119</v>
      </c>
      <c r="BY106" s="4">
        <v>1382</v>
      </c>
      <c r="BZ106" s="4" t="s">
        <v>120</v>
      </c>
      <c r="CA106" s="4">
        <v>1311</v>
      </c>
      <c r="CB106" s="4" t="s">
        <v>100</v>
      </c>
      <c r="CC106" s="4">
        <v>13820000</v>
      </c>
      <c r="CD106" s="4" t="s">
        <v>119</v>
      </c>
      <c r="CE106" s="4">
        <v>13110101</v>
      </c>
      <c r="CF106" s="4" t="s">
        <v>102</v>
      </c>
      <c r="CG106" s="4">
        <v>213112</v>
      </c>
      <c r="CH106" s="4" t="s">
        <v>74</v>
      </c>
      <c r="CI106" s="4">
        <v>211120</v>
      </c>
      <c r="CJ106" s="4" t="s">
        <v>104</v>
      </c>
      <c r="CK106" s="19">
        <f>IF(BQ106&gt;0,BQ106,W106)</f>
        <v>44620258</v>
      </c>
      <c r="CL106" s="20">
        <f>IF(BS106&gt;0,BS106,Y106)</f>
        <v>35</v>
      </c>
      <c r="CM106" s="34">
        <f>IF(CG106&gt;0,CG106,AM106)</f>
        <v>213112</v>
      </c>
      <c r="CN106" s="80">
        <f>IF($BH106="",1,COUNTIF($BH$3:$BH106,$BH106))</f>
        <v>1</v>
      </c>
      <c r="CP106" t="str">
        <f>IF($K106="Standard Match","Match",IF($K106="Name Only Match",IF($CO106="Yes","Match","Name Only Match"),"No Match"))</f>
        <v>Match</v>
      </c>
      <c r="CQ106" s="35" t="str">
        <f>IF(AND(CP106="Match",CK106&gt;0,CL106&gt;0),"Y","N")</f>
        <v>Y</v>
      </c>
      <c r="CS106" t="str">
        <f>IF($CQ106="Y",VLOOKUP($CM106,'SBA Size Standards'!$B$3:$G$57,MATCH('SBA Size Standards'!$G$3,'SBA Size Standards'!$B$3:$G$3,0),FALSE),"")</f>
        <v>Revenue</v>
      </c>
      <c r="CT106" s="60">
        <f>IF(CQ106="Y",IF($CS106="Employment","N/A",VLOOKUP($CM106,'SBA Size Standards'!$B$3:$G$57,MATCH('SBA Size Standards'!$E$3,'SBA Size Standards'!$B$3:$G$3,0),FALSE)),"")</f>
        <v>41500000</v>
      </c>
      <c r="CU106" s="86" t="str">
        <f>IF($CQ106="Y",IF($CS106="Revenue","N/A",VLOOKUP($CM106,'SBA Size Standards'!$B$3:$G$57,MATCH('SBA Size Standards'!$F$3,'SBA Size Standards'!$B$3:$G$3,0),FALSE)),"")</f>
        <v>N/A</v>
      </c>
      <c r="CV106" t="str">
        <f>IF($CQ106="Y",IF(OR(AND($CS106="Employment",$CL106&lt;$CU106),AND($CS106="Revenue",$CK106&lt;$CT106)),"YES","NO"),"")</f>
        <v>NO</v>
      </c>
      <c r="CW106" s="90" t="str">
        <f>IF($CQ106="Y",INDEX('SBA Size Standards'!$N$3:$N$12,MATCH($CK106,'SBA Size Standards'!$O$3:$O$12,1)),"")</f>
        <v>$5,000,001 - $100,000,000</v>
      </c>
      <c r="CX106" s="122" t="s">
        <v>4556</v>
      </c>
      <c r="CY106" s="122">
        <f>INDEX('NM O&amp;G Production'!$P$3:$P$537,MATCH(CX106,'NM O&amp;G Production'!$Q$3:$Q$537,0))</f>
        <v>57</v>
      </c>
      <c r="CZ106" s="122" t="str">
        <f>INDEX('NM O&amp;G Production'!$O$3:$O$537,MATCH(CY106,'NM O&amp;G Production'!$P$3:$P$537,0))</f>
        <v>Yes</v>
      </c>
      <c r="DA106" s="127">
        <f>INDEX('NM O&amp;G Production'!$K$3:$O$537,MATCH($CY106,'NM O&amp;G Production'!$P$3:$P$537,0),MATCH(DA$2,'NM O&amp;G Production'!$K$2:$O$2,0))</f>
        <v>70</v>
      </c>
      <c r="DB106" s="127">
        <f>INDEX('NM O&amp;G Production'!$K$3:$O$537,MATCH($CY106,'NM O&amp;G Production'!$P$3:$P$537,0),MATCH(DB$2,'NM O&amp;G Production'!$K$2:$O$2,0))</f>
        <v>114</v>
      </c>
      <c r="DC106" s="127">
        <f>DA106+DB106</f>
        <v>184</v>
      </c>
      <c r="DD106" s="127">
        <f>INDEX('NM O&amp;G Production'!$K$3:$O$537,MATCH($CY106,'NM O&amp;G Production'!$P$3:$P$537,0),MATCH(DD$2,'NM O&amp;G Production'!$K$2:$O$2,0))</f>
        <v>5212447</v>
      </c>
      <c r="DE106" s="127">
        <f>INDEX('NM O&amp;G Production'!$K$3:$O$537,MATCH($CY106,'NM O&amp;G Production'!$P$3:$P$537,0),MATCH(DE$2,'NM O&amp;G Production'!$K$2:$O$2,0))</f>
        <v>851328</v>
      </c>
      <c r="DF106" s="258">
        <f>CK106/(DB106+DA106)</f>
        <v>242501.40217391305</v>
      </c>
      <c r="DG106" s="57">
        <f>DD106*(12/18)*1.06*'Oil and Gas Prices'!$C$18</f>
        <v>8803475.4865333345</v>
      </c>
      <c r="DH106" s="284">
        <f>DE106*(12/18)*'Oil and Gas Prices'!$C$4</f>
        <v>25539840</v>
      </c>
      <c r="DI106" s="284">
        <f>DG106+DH106</f>
        <v>34343315.486533336</v>
      </c>
      <c r="DJ106" s="57">
        <f>(DG106+DH106)/(DA106+DB106)</f>
        <v>186648.45373115945</v>
      </c>
      <c r="DK106" s="319"/>
    </row>
    <row r="107" spans="1:115" x14ac:dyDescent="0.25">
      <c r="A107" t="s">
        <v>1493</v>
      </c>
      <c r="B107" t="s">
        <v>1494</v>
      </c>
      <c r="D107" t="s">
        <v>123</v>
      </c>
      <c r="E107" t="s">
        <v>84</v>
      </c>
      <c r="F107">
        <v>87401</v>
      </c>
      <c r="G107" t="s">
        <v>62</v>
      </c>
      <c r="I107">
        <v>202</v>
      </c>
      <c r="J107" t="s">
        <v>63</v>
      </c>
      <c r="K107" t="s">
        <v>4133</v>
      </c>
      <c r="L107" t="s">
        <v>64</v>
      </c>
      <c r="M107">
        <v>10</v>
      </c>
      <c r="N107" t="s">
        <v>1495</v>
      </c>
      <c r="O107" t="s">
        <v>1496</v>
      </c>
      <c r="P107" t="s">
        <v>1497</v>
      </c>
      <c r="Q107" t="s">
        <v>1498</v>
      </c>
      <c r="R107" t="s">
        <v>123</v>
      </c>
      <c r="S107" t="s">
        <v>214</v>
      </c>
      <c r="T107" t="s">
        <v>1499</v>
      </c>
      <c r="U107" t="s">
        <v>62</v>
      </c>
      <c r="V107">
        <v>5053270422</v>
      </c>
      <c r="W107" s="1">
        <v>44561673</v>
      </c>
      <c r="X107">
        <v>98</v>
      </c>
      <c r="Y107">
        <v>108</v>
      </c>
      <c r="Z107">
        <v>1962</v>
      </c>
      <c r="AA107" t="s">
        <v>163</v>
      </c>
      <c r="AB107" t="s">
        <v>1500</v>
      </c>
      <c r="AC107" t="s">
        <v>923</v>
      </c>
      <c r="AD107" t="s">
        <v>1501</v>
      </c>
      <c r="AE107">
        <v>5084</v>
      </c>
      <c r="AF107" t="s">
        <v>1248</v>
      </c>
      <c r="AG107">
        <v>7353</v>
      </c>
      <c r="AH107" t="s">
        <v>1247</v>
      </c>
      <c r="AI107">
        <v>50840405</v>
      </c>
      <c r="AJ107" t="s">
        <v>1502</v>
      </c>
      <c r="AK107">
        <v>73530101</v>
      </c>
      <c r="AL107" t="s">
        <v>1503</v>
      </c>
      <c r="AM107">
        <v>423830</v>
      </c>
      <c r="AN107" t="s">
        <v>1252</v>
      </c>
      <c r="AO107">
        <v>532412</v>
      </c>
      <c r="AP107" t="s">
        <v>1251</v>
      </c>
      <c r="AQ107" t="s">
        <v>75</v>
      </c>
      <c r="AR107" t="s">
        <v>1495</v>
      </c>
      <c r="AS107" t="s">
        <v>1496</v>
      </c>
      <c r="AT107" t="s">
        <v>427</v>
      </c>
      <c r="AU107" t="s">
        <v>84</v>
      </c>
      <c r="AV107" t="s">
        <v>62</v>
      </c>
      <c r="AW107" t="s">
        <v>1495</v>
      </c>
      <c r="AX107" t="s">
        <v>1496</v>
      </c>
      <c r="AY107" t="s">
        <v>84</v>
      </c>
      <c r="AZ107" t="s">
        <v>62</v>
      </c>
      <c r="BE107" t="s">
        <v>62</v>
      </c>
      <c r="BF107">
        <v>1</v>
      </c>
      <c r="BG107">
        <v>4</v>
      </c>
      <c r="BH107" s="4" t="s">
        <v>1495</v>
      </c>
      <c r="BI107" s="4" t="s">
        <v>1496</v>
      </c>
      <c r="BJ107" s="4" t="s">
        <v>1497</v>
      </c>
      <c r="BK107" s="4" t="s">
        <v>1498</v>
      </c>
      <c r="BL107" s="4" t="s">
        <v>123</v>
      </c>
      <c r="BM107" s="4" t="s">
        <v>214</v>
      </c>
      <c r="BN107" s="4" t="s">
        <v>1499</v>
      </c>
      <c r="BO107" s="4" t="s">
        <v>62</v>
      </c>
      <c r="BP107" s="4">
        <v>5053270422</v>
      </c>
      <c r="BQ107" s="5">
        <v>44561673</v>
      </c>
      <c r="BR107" s="4">
        <v>98</v>
      </c>
      <c r="BS107" s="4">
        <v>108</v>
      </c>
      <c r="BT107" s="4">
        <v>1962</v>
      </c>
      <c r="BU107" s="4" t="s">
        <v>163</v>
      </c>
      <c r="BV107" s="4" t="s">
        <v>1500</v>
      </c>
      <c r="BW107" s="4" t="s">
        <v>923</v>
      </c>
      <c r="BX107" s="4" t="s">
        <v>1501</v>
      </c>
      <c r="BY107" s="4">
        <v>5084</v>
      </c>
      <c r="BZ107" s="4" t="s">
        <v>1248</v>
      </c>
      <c r="CA107" s="4">
        <v>7353</v>
      </c>
      <c r="CB107" s="4" t="s">
        <v>1247</v>
      </c>
      <c r="CC107" s="4">
        <v>50840405</v>
      </c>
      <c r="CD107" s="4" t="s">
        <v>1502</v>
      </c>
      <c r="CE107" s="4">
        <v>73530101</v>
      </c>
      <c r="CF107" s="4" t="s">
        <v>1503</v>
      </c>
      <c r="CG107" s="4">
        <v>423830</v>
      </c>
      <c r="CH107" s="4" t="s">
        <v>1252</v>
      </c>
      <c r="CI107" s="4">
        <v>532412</v>
      </c>
      <c r="CJ107" s="4" t="s">
        <v>1251</v>
      </c>
      <c r="CK107" s="19">
        <f>IF(BQ107&gt;0,BQ107,W107)</f>
        <v>44561673</v>
      </c>
      <c r="CL107" s="20">
        <f>IF(BS107&gt;0,BS107,Y107)</f>
        <v>108</v>
      </c>
      <c r="CM107" s="34">
        <f>IF(CG107&gt;0,CG107,AM107)</f>
        <v>423830</v>
      </c>
      <c r="CN107" s="80">
        <f>IF($BH107="",1,COUNTIF($BH$3:$BH107,$BH107))</f>
        <v>1</v>
      </c>
      <c r="CP107" t="str">
        <f>IF($K107="Standard Match","Match",IF($K107="Name Only Match",IF($CO107="Yes","Match","Name Only Match"),"No Match"))</f>
        <v>Match</v>
      </c>
      <c r="CQ107" s="35" t="str">
        <f>IF(AND(CP107="Match",CK107&gt;0,CL107&gt;0),"Y","N")</f>
        <v>Y</v>
      </c>
      <c r="CS107" t="str">
        <f>IF($CQ107="Y",VLOOKUP($CM107,'SBA Size Standards'!$B$3:$G$57,MATCH('SBA Size Standards'!$G$3,'SBA Size Standards'!$B$3:$G$3,0),FALSE),"")</f>
        <v>Employment</v>
      </c>
      <c r="CT107" s="60" t="str">
        <f>IF(CQ107="Y",IF($CS107="Employment","N/A",VLOOKUP($CM107,'SBA Size Standards'!$B$3:$G$57,MATCH('SBA Size Standards'!$E$3,'SBA Size Standards'!$B$3:$G$3,0),FALSE)),"")</f>
        <v>N/A</v>
      </c>
      <c r="CU107" s="86">
        <f>IF($CQ107="Y",IF($CS107="Revenue","N/A",VLOOKUP($CM107,'SBA Size Standards'!$B$3:$G$57,MATCH('SBA Size Standards'!$F$3,'SBA Size Standards'!$B$3:$G$3,0),FALSE)),"")</f>
        <v>100</v>
      </c>
      <c r="CV107" t="str">
        <f>IF($CQ107="Y",IF(OR(AND($CS107="Employment",$CL107&lt;$CU107),AND($CS107="Revenue",$CK107&lt;$CT107)),"YES","NO"),"")</f>
        <v>NO</v>
      </c>
      <c r="CW107" s="90" t="str">
        <f>IF($CQ107="Y",INDEX('SBA Size Standards'!$N$3:$N$12,MATCH($CK107,'SBA Size Standards'!$O$3:$O$12,1)),"")</f>
        <v>$5,000,001 - $100,000,000</v>
      </c>
      <c r="CX107" s="122" t="s">
        <v>4628</v>
      </c>
      <c r="CY107" s="122">
        <f>INDEX('NM O&amp;G Production'!$P$3:$P$537,MATCH(CX107,'NM O&amp;G Production'!$Q$3:$Q$537,0))</f>
        <v>202</v>
      </c>
      <c r="CZ107" s="122" t="str">
        <f>INDEX('NM O&amp;G Production'!$O$3:$O$537,MATCH(CY107,'NM O&amp;G Production'!$P$3:$P$537,0))</f>
        <v>No</v>
      </c>
      <c r="DA107" s="127">
        <f>INDEX('NM O&amp;G Production'!$K$3:$O$537,MATCH($CY107,'NM O&amp;G Production'!$P$3:$P$537,0),MATCH(DA$2,'NM O&amp;G Production'!$K$2:$O$2,0))</f>
        <v>0</v>
      </c>
      <c r="DB107" s="127">
        <f>INDEX('NM O&amp;G Production'!$K$3:$O$537,MATCH($CY107,'NM O&amp;G Production'!$P$3:$P$537,0),MATCH(DB$2,'NM O&amp;G Production'!$K$2:$O$2,0))</f>
        <v>0</v>
      </c>
      <c r="DC107" s="127"/>
      <c r="DD107" s="127">
        <f>INDEX('NM O&amp;G Production'!$K$3:$O$537,MATCH($CY107,'NM O&amp;G Production'!$P$3:$P$537,0),MATCH(DD$2,'NM O&amp;G Production'!$K$2:$O$2,0))</f>
        <v>0</v>
      </c>
      <c r="DE107" s="127">
        <f>INDEX('NM O&amp;G Production'!$K$3:$O$537,MATCH($CY107,'NM O&amp;G Production'!$P$3:$P$537,0),MATCH(DE$2,'NM O&amp;G Production'!$K$2:$O$2,0))</f>
        <v>0</v>
      </c>
      <c r="DF107" s="258" t="e">
        <f>CK107/(DB107+DA107)</f>
        <v>#DIV/0!</v>
      </c>
      <c r="DG107" s="57">
        <f>DD107*(12/18)*1.06*'Oil and Gas Prices'!$C$18</f>
        <v>0</v>
      </c>
      <c r="DH107" s="284">
        <f>DE107*(12/18)*'Oil and Gas Prices'!$C$4</f>
        <v>0</v>
      </c>
      <c r="DI107" s="284"/>
      <c r="DJ107" s="57" t="e">
        <f>(DG107+DH107)/(DA107+DB107)</f>
        <v>#DIV/0!</v>
      </c>
      <c r="DK107" s="18" t="e">
        <f>CK107/DI107</f>
        <v>#DIV/0!</v>
      </c>
    </row>
    <row r="108" spans="1:115" x14ac:dyDescent="0.25">
      <c r="A108" t="s">
        <v>840</v>
      </c>
      <c r="B108" t="s">
        <v>841</v>
      </c>
      <c r="D108" t="s">
        <v>153</v>
      </c>
      <c r="E108" t="s">
        <v>80</v>
      </c>
      <c r="F108">
        <v>79710</v>
      </c>
      <c r="G108" t="s">
        <v>62</v>
      </c>
      <c r="I108">
        <v>107</v>
      </c>
      <c r="J108" t="s">
        <v>63</v>
      </c>
      <c r="K108" t="s">
        <v>4133</v>
      </c>
      <c r="L108" t="s">
        <v>149</v>
      </c>
      <c r="M108">
        <v>10</v>
      </c>
      <c r="N108" t="s">
        <v>842</v>
      </c>
      <c r="O108" t="s">
        <v>843</v>
      </c>
      <c r="Q108" t="s">
        <v>844</v>
      </c>
      <c r="R108" t="s">
        <v>153</v>
      </c>
      <c r="S108" t="s">
        <v>94</v>
      </c>
      <c r="T108" t="s">
        <v>845</v>
      </c>
      <c r="U108" t="s">
        <v>62</v>
      </c>
      <c r="V108">
        <v>4328180300</v>
      </c>
      <c r="W108" s="1">
        <v>42812141</v>
      </c>
      <c r="X108">
        <v>60</v>
      </c>
      <c r="Y108">
        <v>60</v>
      </c>
      <c r="Z108">
        <v>1999</v>
      </c>
      <c r="AA108" t="s">
        <v>70</v>
      </c>
      <c r="AB108" t="s">
        <v>846</v>
      </c>
      <c r="AC108" t="s">
        <v>145</v>
      </c>
      <c r="AD108" t="s">
        <v>119</v>
      </c>
      <c r="AE108">
        <v>1382</v>
      </c>
      <c r="AF108" t="s">
        <v>120</v>
      </c>
      <c r="AI108">
        <v>13820000</v>
      </c>
      <c r="AJ108" t="s">
        <v>119</v>
      </c>
      <c r="AM108">
        <v>213112</v>
      </c>
      <c r="AN108" t="s">
        <v>74</v>
      </c>
      <c r="AQ108" t="s">
        <v>75</v>
      </c>
      <c r="AT108" t="s">
        <v>76</v>
      </c>
      <c r="BF108">
        <v>0</v>
      </c>
      <c r="BG108">
        <v>0</v>
      </c>
      <c r="CK108" s="19">
        <f>IF(BQ108&gt;0,BQ108,W108)</f>
        <v>42812141</v>
      </c>
      <c r="CL108" s="20">
        <f>IF(BS108&gt;0,BS108,Y108)</f>
        <v>60</v>
      </c>
      <c r="CM108" s="34">
        <f>IF(CG108&gt;0,CG108,AM108)</f>
        <v>213112</v>
      </c>
      <c r="CN108" s="80">
        <f>IF($BH108="",1,COUNTIF($BH$3:$BH108,$BH108))</f>
        <v>1</v>
      </c>
      <c r="CP108" t="str">
        <f>IF($K108="Standard Match","Match",IF($K108="Name Only Match",IF($CO108="Yes","Match","Name Only Match"),"No Match"))</f>
        <v>Match</v>
      </c>
      <c r="CQ108" s="35" t="str">
        <f>IF(AND(CP108="Match",CK108&gt;0,CL108&gt;0),"Y","N")</f>
        <v>Y</v>
      </c>
      <c r="CS108" t="str">
        <f>IF($CQ108="Y",VLOOKUP($CM108,'SBA Size Standards'!$B$3:$G$57,MATCH('SBA Size Standards'!$G$3,'SBA Size Standards'!$B$3:$G$3,0),FALSE),"")</f>
        <v>Revenue</v>
      </c>
      <c r="CT108" s="60">
        <f>IF(CQ108="Y",IF($CS108="Employment","N/A",VLOOKUP($CM108,'SBA Size Standards'!$B$3:$G$57,MATCH('SBA Size Standards'!$E$3,'SBA Size Standards'!$B$3:$G$3,0),FALSE)),"")</f>
        <v>41500000</v>
      </c>
      <c r="CU108" s="86" t="str">
        <f>IF($CQ108="Y",IF($CS108="Revenue","N/A",VLOOKUP($CM108,'SBA Size Standards'!$B$3:$G$57,MATCH('SBA Size Standards'!$F$3,'SBA Size Standards'!$B$3:$G$3,0),FALSE)),"")</f>
        <v>N/A</v>
      </c>
      <c r="CV108" t="str">
        <f>IF($CQ108="Y",IF(OR(AND($CS108="Employment",$CL108&lt;$CU108),AND($CS108="Revenue",$CK108&lt;$CT108)),"YES","NO"),"")</f>
        <v>NO</v>
      </c>
      <c r="CW108" s="90" t="str">
        <f>IF($CQ108="Y",INDEX('SBA Size Standards'!$N$3:$N$12,MATCH($CK108,'SBA Size Standards'!$O$3:$O$12,1)),"")</f>
        <v>$5,000,001 - $100,000,000</v>
      </c>
      <c r="CX108" s="122" t="s">
        <v>4582</v>
      </c>
      <c r="CY108" s="122">
        <f>INDEX('NM O&amp;G Production'!$P$3:$P$537,MATCH(CX108,'NM O&amp;G Production'!$Q$3:$Q$537,0))</f>
        <v>107</v>
      </c>
      <c r="CZ108" s="122" t="str">
        <f>INDEX('NM O&amp;G Production'!$O$3:$O$537,MATCH(CY108,'NM O&amp;G Production'!$P$3:$P$537,0))</f>
        <v>Yes</v>
      </c>
      <c r="DA108" s="127">
        <f>INDEX('NM O&amp;G Production'!$K$3:$O$537,MATCH($CY108,'NM O&amp;G Production'!$P$3:$P$537,0),MATCH(DA$2,'NM O&amp;G Production'!$K$2:$O$2,0))</f>
        <v>2</v>
      </c>
      <c r="DB108" s="127">
        <f>INDEX('NM O&amp;G Production'!$K$3:$O$537,MATCH($CY108,'NM O&amp;G Production'!$P$3:$P$537,0),MATCH(DB$2,'NM O&amp;G Production'!$K$2:$O$2,0))</f>
        <v>11</v>
      </c>
      <c r="DC108" s="127">
        <f>DA108+DB108</f>
        <v>13</v>
      </c>
      <c r="DD108" s="127">
        <f>INDEX('NM O&amp;G Production'!$K$3:$O$537,MATCH($CY108,'NM O&amp;G Production'!$P$3:$P$537,0),MATCH(DD$2,'NM O&amp;G Production'!$K$2:$O$2,0))</f>
        <v>30650</v>
      </c>
      <c r="DE108" s="127">
        <f>INDEX('NM O&amp;G Production'!$K$3:$O$537,MATCH($CY108,'NM O&amp;G Production'!$P$3:$P$537,0),MATCH(DE$2,'NM O&amp;G Production'!$K$2:$O$2,0))</f>
        <v>10967</v>
      </c>
      <c r="DF108" s="258">
        <f>CK108/(DB108+DA108)</f>
        <v>3293241.6153846155</v>
      </c>
      <c r="DG108" s="57">
        <f>DD108*(12/18)*1.06*'Oil and Gas Prices'!$C$18</f>
        <v>51765.806666666664</v>
      </c>
      <c r="DH108" s="284">
        <f>DE108*(12/18)*'Oil and Gas Prices'!$C$4</f>
        <v>329010</v>
      </c>
      <c r="DI108" s="284">
        <f>DG108+DH108</f>
        <v>380775.80666666664</v>
      </c>
      <c r="DJ108" s="57">
        <f>(DG108+DH108)/(DA108+DB108)</f>
        <v>29290.446666666663</v>
      </c>
      <c r="DK108" s="318"/>
    </row>
    <row r="109" spans="1:115" x14ac:dyDescent="0.25">
      <c r="A109" t="s">
        <v>3212</v>
      </c>
      <c r="B109" t="s">
        <v>3213</v>
      </c>
      <c r="D109" t="s">
        <v>3214</v>
      </c>
      <c r="E109" t="s">
        <v>61</v>
      </c>
      <c r="F109">
        <v>80401</v>
      </c>
      <c r="G109" t="s">
        <v>62</v>
      </c>
      <c r="I109">
        <v>472</v>
      </c>
      <c r="J109" t="s">
        <v>63</v>
      </c>
      <c r="K109" t="s">
        <v>4133</v>
      </c>
      <c r="L109" t="s">
        <v>64</v>
      </c>
      <c r="M109">
        <v>10</v>
      </c>
      <c r="N109" t="s">
        <v>3215</v>
      </c>
      <c r="O109" t="s">
        <v>3216</v>
      </c>
      <c r="P109" t="s">
        <v>3217</v>
      </c>
      <c r="Q109" t="s">
        <v>3218</v>
      </c>
      <c r="R109" t="s">
        <v>3214</v>
      </c>
      <c r="S109" t="s">
        <v>68</v>
      </c>
      <c r="T109" t="s">
        <v>3219</v>
      </c>
      <c r="U109" t="s">
        <v>62</v>
      </c>
      <c r="V109">
        <v>7207725090</v>
      </c>
      <c r="W109" s="1">
        <v>42284000</v>
      </c>
      <c r="X109">
        <v>9</v>
      </c>
      <c r="Y109">
        <v>9</v>
      </c>
      <c r="Z109">
        <v>2016</v>
      </c>
      <c r="AA109" t="s">
        <v>163</v>
      </c>
      <c r="AB109" t="s">
        <v>3220</v>
      </c>
      <c r="AC109" t="s">
        <v>133</v>
      </c>
      <c r="AD109" t="s">
        <v>99</v>
      </c>
      <c r="AE109">
        <v>1311</v>
      </c>
      <c r="AF109" t="s">
        <v>100</v>
      </c>
      <c r="AI109">
        <v>13110100</v>
      </c>
      <c r="AJ109" t="s">
        <v>411</v>
      </c>
      <c r="AM109">
        <v>211120</v>
      </c>
      <c r="AN109" t="s">
        <v>104</v>
      </c>
      <c r="AQ109" t="s">
        <v>75</v>
      </c>
      <c r="AR109" t="s">
        <v>3215</v>
      </c>
      <c r="AS109" t="s">
        <v>3216</v>
      </c>
      <c r="AT109" t="s">
        <v>427</v>
      </c>
      <c r="AU109" t="s">
        <v>61</v>
      </c>
      <c r="AV109" t="s">
        <v>62</v>
      </c>
      <c r="AW109" t="s">
        <v>3215</v>
      </c>
      <c r="AX109" t="s">
        <v>3216</v>
      </c>
      <c r="AY109" t="s">
        <v>61</v>
      </c>
      <c r="AZ109" t="s">
        <v>62</v>
      </c>
      <c r="BE109" t="s">
        <v>62</v>
      </c>
      <c r="BF109">
        <v>1</v>
      </c>
      <c r="BG109">
        <v>2</v>
      </c>
      <c r="BH109" s="4" t="s">
        <v>3215</v>
      </c>
      <c r="BI109" s="4" t="s">
        <v>3216</v>
      </c>
      <c r="BJ109" s="4" t="s">
        <v>3217</v>
      </c>
      <c r="BK109" s="4" t="s">
        <v>3218</v>
      </c>
      <c r="BL109" s="4" t="s">
        <v>3214</v>
      </c>
      <c r="BM109" s="4" t="s">
        <v>68</v>
      </c>
      <c r="BN109" s="4" t="s">
        <v>3219</v>
      </c>
      <c r="BO109" s="4" t="s">
        <v>62</v>
      </c>
      <c r="BP109" s="4">
        <v>7207725090</v>
      </c>
      <c r="BQ109" s="5">
        <v>42284000</v>
      </c>
      <c r="BR109" s="4">
        <v>9</v>
      </c>
      <c r="BS109" s="4">
        <v>9</v>
      </c>
      <c r="BT109" s="4">
        <v>2016</v>
      </c>
      <c r="BU109" s="4" t="s">
        <v>163</v>
      </c>
      <c r="BV109" s="4" t="s">
        <v>3220</v>
      </c>
      <c r="BW109" s="4" t="s">
        <v>133</v>
      </c>
      <c r="BX109" s="4" t="s">
        <v>99</v>
      </c>
      <c r="BY109" s="4">
        <v>1311</v>
      </c>
      <c r="BZ109" s="4" t="s">
        <v>100</v>
      </c>
      <c r="CC109" s="4">
        <v>13110100</v>
      </c>
      <c r="CD109" s="4" t="s">
        <v>411</v>
      </c>
      <c r="CG109" s="4">
        <v>211120</v>
      </c>
      <c r="CH109" s="4" t="s">
        <v>104</v>
      </c>
      <c r="CK109" s="19">
        <f>IF(BQ109&gt;0,BQ109,W109)</f>
        <v>42284000</v>
      </c>
      <c r="CL109" s="20">
        <f>IF(BS109&gt;0,BS109,Y109)</f>
        <v>9</v>
      </c>
      <c r="CM109" s="34">
        <f>IF(CG109&gt;0,CG109,AM109)</f>
        <v>211120</v>
      </c>
      <c r="CN109" s="80">
        <f>IF($BH109="",1,COUNTIF($BH$3:$BH109,$BH109))</f>
        <v>1</v>
      </c>
      <c r="CP109" t="str">
        <f>IF($K109="Standard Match","Match",IF($K109="Name Only Match",IF($CO109="Yes","Match","Name Only Match"),"No Match"))</f>
        <v>Match</v>
      </c>
      <c r="CQ109" s="35" t="str">
        <f>IF(AND(CP109="Match",CK109&gt;0,CL109&gt;0),"Y","N")</f>
        <v>Y</v>
      </c>
      <c r="CS109" t="str">
        <f>IF($CQ109="Y",VLOOKUP($CM109,'SBA Size Standards'!$B$3:$G$57,MATCH('SBA Size Standards'!$G$3,'SBA Size Standards'!$B$3:$G$3,0),FALSE),"")</f>
        <v>Employment</v>
      </c>
      <c r="CT109" s="60" t="str">
        <f>IF(CQ109="Y",IF($CS109="Employment","N/A",VLOOKUP($CM109,'SBA Size Standards'!$B$3:$G$57,MATCH('SBA Size Standards'!$E$3,'SBA Size Standards'!$B$3:$G$3,0),FALSE)),"")</f>
        <v>N/A</v>
      </c>
      <c r="CU109" s="86">
        <f>IF($CQ109="Y",IF($CS109="Revenue","N/A",VLOOKUP($CM109,'SBA Size Standards'!$B$3:$G$57,MATCH('SBA Size Standards'!$F$3,'SBA Size Standards'!$B$3:$G$3,0),FALSE)),"")</f>
        <v>1250</v>
      </c>
      <c r="CV109" t="str">
        <f>IF($CQ109="Y",IF(OR(AND($CS109="Employment",$CL109&lt;$CU109),AND($CS109="Revenue",$CK109&lt;$CT109)),"YES","NO"),"")</f>
        <v>YES</v>
      </c>
      <c r="CW109" s="90" t="str">
        <f>IF($CQ109="Y",INDEX('SBA Size Standards'!$N$3:$N$12,MATCH($CK109,'SBA Size Standards'!$O$3:$O$12,1)),"")</f>
        <v>$5,000,001 - $100,000,000</v>
      </c>
      <c r="CX109" s="122" t="s">
        <v>4763</v>
      </c>
      <c r="CY109" s="122">
        <f>INDEX('NM O&amp;G Production'!$P$3:$P$537,MATCH(CX109,'NM O&amp;G Production'!$Q$3:$Q$537,0))</f>
        <v>472</v>
      </c>
      <c r="CZ109" s="122" t="str">
        <f>INDEX('NM O&amp;G Production'!$O$3:$O$537,MATCH(CY109,'NM O&amp;G Production'!$P$3:$P$537,0))</f>
        <v>Yes</v>
      </c>
      <c r="DA109" s="127">
        <f>INDEX('NM O&amp;G Production'!$K$3:$O$537,MATCH($CY109,'NM O&amp;G Production'!$P$3:$P$537,0),MATCH(DA$2,'NM O&amp;G Production'!$K$2:$O$2,0))</f>
        <v>70</v>
      </c>
      <c r="DB109" s="127">
        <f>INDEX('NM O&amp;G Production'!$K$3:$O$537,MATCH($CY109,'NM O&amp;G Production'!$P$3:$P$537,0),MATCH(DB$2,'NM O&amp;G Production'!$K$2:$O$2,0))</f>
        <v>8</v>
      </c>
      <c r="DC109" s="127">
        <f>DA109+DB109</f>
        <v>78</v>
      </c>
      <c r="DD109" s="127">
        <f>INDEX('NM O&amp;G Production'!$K$3:$O$537,MATCH($CY109,'NM O&amp;G Production'!$P$3:$P$537,0),MATCH(DD$2,'NM O&amp;G Production'!$K$2:$O$2,0))</f>
        <v>9817572</v>
      </c>
      <c r="DE109" s="127">
        <f>INDEX('NM O&amp;G Production'!$K$3:$O$537,MATCH($CY109,'NM O&amp;G Production'!$P$3:$P$537,0),MATCH(DE$2,'NM O&amp;G Production'!$K$2:$O$2,0))</f>
        <v>3085229</v>
      </c>
      <c r="DF109" s="258">
        <f>CK109/(DB109+DA109)</f>
        <v>542102.56410256412</v>
      </c>
      <c r="DG109" s="57">
        <f>DD109*(12/18)*1.06*'Oil and Gas Prices'!$C$18</f>
        <v>16581224.6032</v>
      </c>
      <c r="DH109" s="284">
        <f>DE109*(12/18)*'Oil and Gas Prices'!$C$4</f>
        <v>92556870</v>
      </c>
      <c r="DI109" s="284">
        <f>DG109+DH109</f>
        <v>109138094.6032</v>
      </c>
      <c r="DJ109" s="57">
        <f>(DG109+DH109)/(DA109+DB109)</f>
        <v>1399206.3410666666</v>
      </c>
      <c r="DK109" s="319"/>
    </row>
    <row r="110" spans="1:115" x14ac:dyDescent="0.25">
      <c r="A110" t="s">
        <v>3241</v>
      </c>
      <c r="B110" t="s">
        <v>628</v>
      </c>
      <c r="D110" t="s">
        <v>153</v>
      </c>
      <c r="E110" t="s">
        <v>80</v>
      </c>
      <c r="F110">
        <v>79705</v>
      </c>
      <c r="G110" t="s">
        <v>62</v>
      </c>
      <c r="I110">
        <v>477</v>
      </c>
      <c r="J110" t="s">
        <v>404</v>
      </c>
      <c r="K110" t="s">
        <v>4133</v>
      </c>
      <c r="L110" t="s">
        <v>279</v>
      </c>
      <c r="M110">
        <v>8</v>
      </c>
      <c r="N110" t="s">
        <v>3242</v>
      </c>
      <c r="O110" t="s">
        <v>3243</v>
      </c>
      <c r="P110" t="s">
        <v>3244</v>
      </c>
      <c r="Q110" t="s">
        <v>3245</v>
      </c>
      <c r="R110" t="s">
        <v>153</v>
      </c>
      <c r="S110" t="s">
        <v>94</v>
      </c>
      <c r="T110" t="s">
        <v>3246</v>
      </c>
      <c r="U110" t="s">
        <v>62</v>
      </c>
      <c r="V110">
        <v>4326884100</v>
      </c>
      <c r="W110" s="1">
        <v>41800000</v>
      </c>
      <c r="X110">
        <v>200</v>
      </c>
      <c r="Y110">
        <v>0</v>
      </c>
      <c r="AA110" t="s">
        <v>96</v>
      </c>
      <c r="AB110" t="s">
        <v>3247</v>
      </c>
      <c r="AC110" t="s">
        <v>677</v>
      </c>
      <c r="AD110" t="s">
        <v>99</v>
      </c>
      <c r="AE110">
        <v>1311</v>
      </c>
      <c r="AF110" t="s">
        <v>100</v>
      </c>
      <c r="AI110">
        <v>13110101</v>
      </c>
      <c r="AJ110" t="s">
        <v>102</v>
      </c>
      <c r="AM110">
        <v>211120</v>
      </c>
      <c r="AN110" t="s">
        <v>104</v>
      </c>
      <c r="AQ110" t="s">
        <v>75</v>
      </c>
      <c r="AT110" t="s">
        <v>76</v>
      </c>
      <c r="BG110">
        <v>0</v>
      </c>
      <c r="CK110" s="19">
        <f>IF(BQ110&gt;0,BQ110,W110)</f>
        <v>41800000</v>
      </c>
      <c r="CL110" s="20">
        <f>IF(BS110&gt;0,BS110,Y110)</f>
        <v>0</v>
      </c>
      <c r="CM110" s="78">
        <f>IF(CG110&gt;0,CG110,AM110)</f>
        <v>211120</v>
      </c>
      <c r="CN110" s="80">
        <f>IF($BH110="",1,COUNTIF($BH$3:$BH110,$BH110))</f>
        <v>1</v>
      </c>
      <c r="CP110" t="str">
        <f>IF($K110="Standard Match","Match",IF($K110="Name Only Match",IF($CO110="Yes","Match","Name Only Match"),"No Match"))</f>
        <v>Match</v>
      </c>
      <c r="CQ110" s="35" t="str">
        <f>IF(AND(CP110="Match",CK110&gt;0,CL110&gt;0),"Y","N")</f>
        <v>N</v>
      </c>
      <c r="CS110" t="str">
        <f>IF($CQ110="Y",VLOOKUP($CM110,'SBA Size Standards'!$B$3:$G$57,MATCH('SBA Size Standards'!$G$3,'SBA Size Standards'!$B$3:$G$3,0),FALSE),"")</f>
        <v/>
      </c>
      <c r="CT110" s="60" t="str">
        <f>IF(CQ110="Y",IF($CS110="Employment","N/A",VLOOKUP($CM110,'SBA Size Standards'!$B$3:$G$57,MATCH('SBA Size Standards'!$E$3,'SBA Size Standards'!$B$3:$G$3,0),FALSE)),"")</f>
        <v/>
      </c>
      <c r="CU110" s="86" t="str">
        <f>IF($CQ110="Y",IF($CS110="Revenue","N/A",VLOOKUP($CM110,'SBA Size Standards'!$B$3:$G$57,MATCH('SBA Size Standards'!$F$3,'SBA Size Standards'!$B$3:$G$3,0),FALSE)),"")</f>
        <v/>
      </c>
      <c r="CV110" t="str">
        <f>IF($CQ110="Y",IF(OR(AND($CS110="Employment",$CL110&lt;$CU110),AND($CS110="Revenue",$CK110&lt;$CT110)),"YES","NO"),"")</f>
        <v/>
      </c>
      <c r="CW110" s="90" t="str">
        <f>IF($CQ110="Y",INDEX('SBA Size Standards'!$N$3:$N$12,MATCH($CK110,'SBA Size Standards'!$O$3:$O$12,1)),"")</f>
        <v/>
      </c>
      <c r="CX110" s="122" t="s">
        <v>4911</v>
      </c>
      <c r="CY110" s="122">
        <f>INDEX('NM O&amp;G Production'!$P$3:$P$537,MATCH(CX110,'NM O&amp;G Production'!$Q$3:$Q$537,0))</f>
        <v>477</v>
      </c>
      <c r="CZ110" s="122" t="str">
        <f>INDEX('NM O&amp;G Production'!$O$3:$O$537,MATCH(CY110,'NM O&amp;G Production'!$P$3:$P$537,0))</f>
        <v>No</v>
      </c>
      <c r="DA110" s="127">
        <f>INDEX('NM O&amp;G Production'!$K$3:$O$537,MATCH($CY110,'NM O&amp;G Production'!$P$3:$P$537,0),MATCH(DA$2,'NM O&amp;G Production'!$K$2:$O$2,0))</f>
        <v>0</v>
      </c>
      <c r="DB110" s="127">
        <f>INDEX('NM O&amp;G Production'!$K$3:$O$537,MATCH($CY110,'NM O&amp;G Production'!$P$3:$P$537,0),MATCH(DB$2,'NM O&amp;G Production'!$K$2:$O$2,0))</f>
        <v>0</v>
      </c>
      <c r="DC110" s="127"/>
      <c r="DD110" s="127">
        <f>INDEX('NM O&amp;G Production'!$K$3:$O$537,MATCH($CY110,'NM O&amp;G Production'!$P$3:$P$537,0),MATCH(DD$2,'NM O&amp;G Production'!$K$2:$O$2,0))</f>
        <v>0</v>
      </c>
      <c r="DE110" s="127">
        <f>INDEX('NM O&amp;G Production'!$K$3:$O$537,MATCH($CY110,'NM O&amp;G Production'!$P$3:$P$537,0),MATCH(DE$2,'NM O&amp;G Production'!$K$2:$O$2,0))</f>
        <v>0</v>
      </c>
      <c r="DF110" s="258" t="e">
        <f>CK110/(DB110+DA110)</f>
        <v>#DIV/0!</v>
      </c>
      <c r="DG110" s="57">
        <f>DD110*(12/18)*1.06*'Oil and Gas Prices'!$C$18</f>
        <v>0</v>
      </c>
      <c r="DH110" s="284">
        <f>DE110*(12/18)*'Oil and Gas Prices'!$C$4</f>
        <v>0</v>
      </c>
      <c r="DI110" s="284"/>
      <c r="DJ110" s="57" t="e">
        <f>(DG110+DH110)/(DA110+DB110)</f>
        <v>#DIV/0!</v>
      </c>
      <c r="DK110" s="18" t="e">
        <f>CK110/DI110</f>
        <v>#DIV/0!</v>
      </c>
    </row>
    <row r="111" spans="1:115" x14ac:dyDescent="0.25">
      <c r="A111" t="s">
        <v>402</v>
      </c>
      <c r="B111" t="s">
        <v>403</v>
      </c>
      <c r="D111" t="s">
        <v>112</v>
      </c>
      <c r="E111" t="s">
        <v>80</v>
      </c>
      <c r="F111">
        <v>77002</v>
      </c>
      <c r="G111" t="s">
        <v>62</v>
      </c>
      <c r="I111">
        <v>49</v>
      </c>
      <c r="J111" t="s">
        <v>404</v>
      </c>
      <c r="K111" t="s">
        <v>4133</v>
      </c>
      <c r="L111" t="s">
        <v>247</v>
      </c>
      <c r="M111">
        <v>10</v>
      </c>
      <c r="N111" t="s">
        <v>405</v>
      </c>
      <c r="O111" t="s">
        <v>406</v>
      </c>
      <c r="Q111" t="s">
        <v>407</v>
      </c>
      <c r="R111" t="s">
        <v>112</v>
      </c>
      <c r="S111" t="s">
        <v>94</v>
      </c>
      <c r="T111" t="s">
        <v>408</v>
      </c>
      <c r="U111" t="s">
        <v>62</v>
      </c>
      <c r="V111">
        <v>7134378000</v>
      </c>
      <c r="W111" s="1">
        <v>41210286</v>
      </c>
      <c r="X111">
        <v>17</v>
      </c>
      <c r="Y111">
        <v>60</v>
      </c>
      <c r="AA111" t="s">
        <v>70</v>
      </c>
      <c r="AB111" t="s">
        <v>410</v>
      </c>
      <c r="AC111" t="s">
        <v>242</v>
      </c>
      <c r="AD111" t="s">
        <v>99</v>
      </c>
      <c r="AE111">
        <v>1311</v>
      </c>
      <c r="AF111" t="s">
        <v>100</v>
      </c>
      <c r="AG111">
        <v>1389</v>
      </c>
      <c r="AH111" t="s">
        <v>72</v>
      </c>
      <c r="AI111">
        <v>13110100</v>
      </c>
      <c r="AJ111" t="s">
        <v>411</v>
      </c>
      <c r="AK111">
        <v>13890100</v>
      </c>
      <c r="AL111" t="s">
        <v>412</v>
      </c>
      <c r="AM111">
        <v>211120</v>
      </c>
      <c r="AN111" t="s">
        <v>104</v>
      </c>
      <c r="AO111">
        <v>237120</v>
      </c>
      <c r="AP111" t="s">
        <v>413</v>
      </c>
      <c r="AQ111" t="s">
        <v>75</v>
      </c>
      <c r="AT111" t="s">
        <v>76</v>
      </c>
      <c r="BF111">
        <v>0</v>
      </c>
      <c r="BG111">
        <v>0</v>
      </c>
      <c r="CK111" s="19">
        <f>IF(BQ111&gt;0,BQ111,W111)</f>
        <v>41210286</v>
      </c>
      <c r="CL111" s="20">
        <f>IF(BS111&gt;0,BS111,Y111)</f>
        <v>60</v>
      </c>
      <c r="CM111" s="34">
        <f>IF(CG111&gt;0,CG111,AM111)</f>
        <v>211120</v>
      </c>
      <c r="CN111" s="80">
        <f>IF($BH111="",1,COUNTIF($BH$3:$BH111,$BH111))</f>
        <v>1</v>
      </c>
      <c r="CP111" t="str">
        <f>IF($K111="Standard Match","Match",IF($K111="Name Only Match",IF($CO111="Yes","Match","Name Only Match"),"No Match"))</f>
        <v>Match</v>
      </c>
      <c r="CQ111" s="35" t="str">
        <f>IF(AND(CP111="Match",CK111&gt;0,CL111&gt;0),"Y","N")</f>
        <v>Y</v>
      </c>
      <c r="CS111" t="str">
        <f>IF($CQ111="Y",VLOOKUP($CM111,'SBA Size Standards'!$B$3:$G$57,MATCH('SBA Size Standards'!$G$3,'SBA Size Standards'!$B$3:$G$3,0),FALSE),"")</f>
        <v>Employment</v>
      </c>
      <c r="CT111" s="60" t="str">
        <f>IF(CQ111="Y",IF($CS111="Employment","N/A",VLOOKUP($CM111,'SBA Size Standards'!$B$3:$G$57,MATCH('SBA Size Standards'!$E$3,'SBA Size Standards'!$B$3:$G$3,0),FALSE)),"")</f>
        <v>N/A</v>
      </c>
      <c r="CU111" s="86">
        <f>IF($CQ111="Y",IF($CS111="Revenue","N/A",VLOOKUP($CM111,'SBA Size Standards'!$B$3:$G$57,MATCH('SBA Size Standards'!$F$3,'SBA Size Standards'!$B$3:$G$3,0),FALSE)),"")</f>
        <v>1250</v>
      </c>
      <c r="CV111" t="str">
        <f>IF($CQ111="Y",IF(OR(AND($CS111="Employment",$CL111&lt;$CU111),AND($CS111="Revenue",$CK111&lt;$CT111)),"YES","NO"),"")</f>
        <v>YES</v>
      </c>
      <c r="CW111" s="90" t="str">
        <f>IF($CQ111="Y",INDEX('SBA Size Standards'!$N$3:$N$12,MATCH($CK111,'SBA Size Standards'!$O$3:$O$12,1)),"")</f>
        <v>$5,000,001 - $100,000,000</v>
      </c>
      <c r="CX111" s="122" t="s">
        <v>4551</v>
      </c>
      <c r="CY111" s="122">
        <f>INDEX('NM O&amp;G Production'!$P$3:$P$537,MATCH(CX111,'NM O&amp;G Production'!$Q$3:$Q$537,0))</f>
        <v>49</v>
      </c>
      <c r="CZ111" s="122" t="str">
        <f>INDEX('NM O&amp;G Production'!$O$3:$O$537,MATCH(CY111,'NM O&amp;G Production'!$P$3:$P$537,0))</f>
        <v>Yes</v>
      </c>
      <c r="DA111" s="127">
        <f>INDEX('NM O&amp;G Production'!$K$3:$O$537,MATCH($CY111,'NM O&amp;G Production'!$P$3:$P$537,0),MATCH(DA$2,'NM O&amp;G Production'!$K$2:$O$2,0))</f>
        <v>17</v>
      </c>
      <c r="DB111" s="127">
        <f>INDEX('NM O&amp;G Production'!$K$3:$O$537,MATCH($CY111,'NM O&amp;G Production'!$P$3:$P$537,0),MATCH(DB$2,'NM O&amp;G Production'!$K$2:$O$2,0))</f>
        <v>115</v>
      </c>
      <c r="DC111" s="127">
        <f>DA111+DB111</f>
        <v>132</v>
      </c>
      <c r="DD111" s="127">
        <f>INDEX('NM O&amp;G Production'!$K$3:$O$537,MATCH($CY111,'NM O&amp;G Production'!$P$3:$P$537,0),MATCH(DD$2,'NM O&amp;G Production'!$K$2:$O$2,0))</f>
        <v>1733698</v>
      </c>
      <c r="DE111" s="127">
        <f>INDEX('NM O&amp;G Production'!$K$3:$O$537,MATCH($CY111,'NM O&amp;G Production'!$P$3:$P$537,0),MATCH(DE$2,'NM O&amp;G Production'!$K$2:$O$2,0))</f>
        <v>329156</v>
      </c>
      <c r="DF111" s="258">
        <f>CK111/(DB111+DA111)</f>
        <v>312199.13636363635</v>
      </c>
      <c r="DG111" s="57">
        <f>DD111*(12/18)*1.06*'Oil and Gas Prices'!$C$18</f>
        <v>2928100.3421333334</v>
      </c>
      <c r="DH111" s="284">
        <f>DE111*(12/18)*'Oil and Gas Prices'!$C$4</f>
        <v>9874680</v>
      </c>
      <c r="DI111" s="284">
        <f>DG111+DH111</f>
        <v>12802780.342133334</v>
      </c>
      <c r="DJ111" s="57">
        <f>(DG111+DH111)/(DA111+DB111)</f>
        <v>96990.760167676766</v>
      </c>
      <c r="DK111" s="319"/>
    </row>
    <row r="112" spans="1:115" x14ac:dyDescent="0.25">
      <c r="A112" t="s">
        <v>1379</v>
      </c>
      <c r="B112" t="s">
        <v>1380</v>
      </c>
      <c r="D112" t="s">
        <v>1035</v>
      </c>
      <c r="E112" t="s">
        <v>84</v>
      </c>
      <c r="F112">
        <v>87413</v>
      </c>
      <c r="G112" t="s">
        <v>62</v>
      </c>
      <c r="I112">
        <v>183</v>
      </c>
      <c r="J112" t="s">
        <v>404</v>
      </c>
      <c r="K112" t="s">
        <v>4133</v>
      </c>
      <c r="L112" t="s">
        <v>149</v>
      </c>
      <c r="M112">
        <v>10</v>
      </c>
      <c r="N112" t="s">
        <v>1381</v>
      </c>
      <c r="O112" t="s">
        <v>1382</v>
      </c>
      <c r="P112" t="s">
        <v>1383</v>
      </c>
      <c r="Q112" t="s">
        <v>1384</v>
      </c>
      <c r="R112" t="s">
        <v>1035</v>
      </c>
      <c r="S112" t="s">
        <v>214</v>
      </c>
      <c r="T112">
        <v>87413</v>
      </c>
      <c r="U112" t="s">
        <v>62</v>
      </c>
      <c r="V112">
        <v>5056323311</v>
      </c>
      <c r="W112" s="1">
        <v>40700000</v>
      </c>
      <c r="X112">
        <v>123</v>
      </c>
      <c r="Y112">
        <v>0</v>
      </c>
      <c r="AA112" t="s">
        <v>70</v>
      </c>
      <c r="AB112" t="s">
        <v>1385</v>
      </c>
      <c r="AC112" t="s">
        <v>669</v>
      </c>
      <c r="AD112" t="s">
        <v>896</v>
      </c>
      <c r="AE112">
        <v>4923</v>
      </c>
      <c r="AF112" t="s">
        <v>894</v>
      </c>
      <c r="AG112">
        <v>4911</v>
      </c>
      <c r="AH112" t="s">
        <v>1236</v>
      </c>
      <c r="AI112">
        <v>49230000</v>
      </c>
      <c r="AJ112" t="s">
        <v>896</v>
      </c>
      <c r="AK112">
        <v>49110000</v>
      </c>
      <c r="AL112" t="s">
        <v>1237</v>
      </c>
      <c r="AM112">
        <v>221210</v>
      </c>
      <c r="AN112" t="s">
        <v>166</v>
      </c>
      <c r="AO112">
        <v>221118</v>
      </c>
      <c r="AP112" t="s">
        <v>1238</v>
      </c>
      <c r="AQ112" t="s">
        <v>75</v>
      </c>
      <c r="AT112" t="s">
        <v>76</v>
      </c>
      <c r="BF112">
        <v>0</v>
      </c>
      <c r="BG112">
        <v>0</v>
      </c>
      <c r="CK112" s="19">
        <f>IF(BQ112&gt;0,BQ112,W112)</f>
        <v>40700000</v>
      </c>
      <c r="CL112" s="20">
        <f>IF(BS112&gt;0,BS112,Y112)</f>
        <v>0</v>
      </c>
      <c r="CM112" s="78">
        <f>IF(CG112&gt;0,CG112,AM112)</f>
        <v>221210</v>
      </c>
      <c r="CN112" s="80">
        <f>IF($BH112="",1,COUNTIF($BH$3:$BH112,$BH112))</f>
        <v>1</v>
      </c>
      <c r="CP112" t="str">
        <f>IF($K112="Standard Match","Match",IF($K112="Name Only Match",IF($CO112="Yes","Match","Name Only Match"),"No Match"))</f>
        <v>Match</v>
      </c>
      <c r="CQ112" s="35" t="str">
        <f>IF(AND(CP112="Match",CK112&gt;0,CL112&gt;0),"Y","N")</f>
        <v>N</v>
      </c>
      <c r="CS112" t="str">
        <f>IF($CQ112="Y",VLOOKUP($CM112,'SBA Size Standards'!$B$3:$G$57,MATCH('SBA Size Standards'!$G$3,'SBA Size Standards'!$B$3:$G$3,0),FALSE),"")</f>
        <v/>
      </c>
      <c r="CT112" s="60" t="str">
        <f>IF(CQ112="Y",IF($CS112="Employment","N/A",VLOOKUP($CM112,'SBA Size Standards'!$B$3:$G$57,MATCH('SBA Size Standards'!$E$3,'SBA Size Standards'!$B$3:$G$3,0),FALSE)),"")</f>
        <v/>
      </c>
      <c r="CU112" s="86" t="str">
        <f>IF($CQ112="Y",IF($CS112="Revenue","N/A",VLOOKUP($CM112,'SBA Size Standards'!$B$3:$G$57,MATCH('SBA Size Standards'!$F$3,'SBA Size Standards'!$B$3:$G$3,0),FALSE)),"")</f>
        <v/>
      </c>
      <c r="CV112" t="str">
        <f>IF($CQ112="Y",IF(OR(AND($CS112="Employment",$CL112&lt;$CU112),AND($CS112="Revenue",$CK112&lt;$CT112)),"YES","NO"),"")</f>
        <v/>
      </c>
      <c r="CW112" s="90" t="str">
        <f>IF($CQ112="Y",INDEX('SBA Size Standards'!$N$3:$N$12,MATCH($CK112,'SBA Size Standards'!$O$3:$O$12,1)),"")</f>
        <v/>
      </c>
      <c r="CX112" s="122" t="s">
        <v>4616</v>
      </c>
      <c r="CY112" s="122">
        <f>INDEX('NM O&amp;G Production'!$P$3:$P$537,MATCH(CX112,'NM O&amp;G Production'!$Q$3:$Q$537,0))</f>
        <v>183</v>
      </c>
      <c r="CZ112" s="122" t="str">
        <f>INDEX('NM O&amp;G Production'!$O$3:$O$537,MATCH(CY112,'NM O&amp;G Production'!$P$3:$P$537,0))</f>
        <v>No</v>
      </c>
      <c r="DA112" s="127">
        <f>INDEX('NM O&amp;G Production'!$K$3:$O$537,MATCH($CY112,'NM O&amp;G Production'!$P$3:$P$537,0),MATCH(DA$2,'NM O&amp;G Production'!$K$2:$O$2,0))</f>
        <v>0</v>
      </c>
      <c r="DB112" s="127">
        <f>INDEX('NM O&amp;G Production'!$K$3:$O$537,MATCH($CY112,'NM O&amp;G Production'!$P$3:$P$537,0),MATCH(DB$2,'NM O&amp;G Production'!$K$2:$O$2,0))</f>
        <v>0</v>
      </c>
      <c r="DC112" s="127"/>
      <c r="DD112" s="127">
        <f>INDEX('NM O&amp;G Production'!$K$3:$O$537,MATCH($CY112,'NM O&amp;G Production'!$P$3:$P$537,0),MATCH(DD$2,'NM O&amp;G Production'!$K$2:$O$2,0))</f>
        <v>0</v>
      </c>
      <c r="DE112" s="127">
        <f>INDEX('NM O&amp;G Production'!$K$3:$O$537,MATCH($CY112,'NM O&amp;G Production'!$P$3:$P$537,0),MATCH(DE$2,'NM O&amp;G Production'!$K$2:$O$2,0))</f>
        <v>0</v>
      </c>
      <c r="DF112" s="258" t="e">
        <f>CK112/(DB112+DA112)</f>
        <v>#DIV/0!</v>
      </c>
      <c r="DG112" s="57">
        <f>DD112*(12/18)*1.06*'Oil and Gas Prices'!$C$18</f>
        <v>0</v>
      </c>
      <c r="DH112" s="284">
        <f>DE112*(12/18)*'Oil and Gas Prices'!$C$4</f>
        <v>0</v>
      </c>
      <c r="DI112" s="284"/>
      <c r="DJ112" s="57" t="e">
        <f>(DG112+DH112)/(DA112+DB112)</f>
        <v>#DIV/0!</v>
      </c>
      <c r="DK112" s="18" t="e">
        <f>CK112/DI112</f>
        <v>#DIV/0!</v>
      </c>
    </row>
    <row r="113" spans="1:115" x14ac:dyDescent="0.25">
      <c r="A113" t="s">
        <v>641</v>
      </c>
      <c r="B113" t="s">
        <v>462</v>
      </c>
      <c r="D113" t="s">
        <v>88</v>
      </c>
      <c r="E113" t="s">
        <v>80</v>
      </c>
      <c r="F113">
        <v>76102</v>
      </c>
      <c r="G113" t="s">
        <v>62</v>
      </c>
      <c r="I113">
        <v>79</v>
      </c>
      <c r="J113" t="s">
        <v>63</v>
      </c>
      <c r="K113" t="s">
        <v>4133</v>
      </c>
      <c r="L113" t="s">
        <v>64</v>
      </c>
      <c r="M113">
        <v>10</v>
      </c>
      <c r="N113" t="s">
        <v>642</v>
      </c>
      <c r="O113" t="s">
        <v>643</v>
      </c>
      <c r="Q113" t="s">
        <v>644</v>
      </c>
      <c r="R113" t="s">
        <v>88</v>
      </c>
      <c r="S113" t="s">
        <v>94</v>
      </c>
      <c r="T113" t="s">
        <v>645</v>
      </c>
      <c r="U113" t="s">
        <v>62</v>
      </c>
      <c r="V113">
        <v>8179536063</v>
      </c>
      <c r="W113" s="289">
        <v>40000000</v>
      </c>
      <c r="X113">
        <v>17</v>
      </c>
      <c r="Y113">
        <v>17</v>
      </c>
      <c r="Z113">
        <v>2016</v>
      </c>
      <c r="AA113" t="s">
        <v>70</v>
      </c>
      <c r="AB113" t="s">
        <v>646</v>
      </c>
      <c r="AC113" t="s">
        <v>647</v>
      </c>
      <c r="AD113" t="s">
        <v>119</v>
      </c>
      <c r="AE113">
        <v>1382</v>
      </c>
      <c r="AF113" t="s">
        <v>120</v>
      </c>
      <c r="AI113">
        <v>13820000</v>
      </c>
      <c r="AJ113" t="s">
        <v>119</v>
      </c>
      <c r="AM113">
        <v>213112</v>
      </c>
      <c r="AN113" t="s">
        <v>74</v>
      </c>
      <c r="AQ113" t="s">
        <v>168</v>
      </c>
      <c r="AR113" t="s">
        <v>648</v>
      </c>
      <c r="AS113" t="s">
        <v>649</v>
      </c>
      <c r="AT113" t="s">
        <v>76</v>
      </c>
      <c r="AU113" t="s">
        <v>80</v>
      </c>
      <c r="AV113" t="s">
        <v>62</v>
      </c>
      <c r="AW113" t="s">
        <v>648</v>
      </c>
      <c r="AX113" t="s">
        <v>649</v>
      </c>
      <c r="AY113" t="s">
        <v>80</v>
      </c>
      <c r="AZ113" t="s">
        <v>62</v>
      </c>
      <c r="BA113" t="s">
        <v>648</v>
      </c>
      <c r="BC113" t="s">
        <v>649</v>
      </c>
      <c r="BD113" t="s">
        <v>80</v>
      </c>
      <c r="BE113" t="s">
        <v>62</v>
      </c>
      <c r="BF113">
        <v>2</v>
      </c>
      <c r="BG113">
        <v>2</v>
      </c>
      <c r="BH113" s="4" t="s">
        <v>648</v>
      </c>
      <c r="BI113" s="4" t="s">
        <v>649</v>
      </c>
      <c r="BK113" s="4" t="s">
        <v>644</v>
      </c>
      <c r="BL113" s="4" t="s">
        <v>88</v>
      </c>
      <c r="BM113" s="4" t="s">
        <v>94</v>
      </c>
      <c r="BN113" s="4" t="s">
        <v>645</v>
      </c>
      <c r="BO113" s="4" t="s">
        <v>62</v>
      </c>
      <c r="BP113" s="4">
        <v>8179536063</v>
      </c>
      <c r="BQ113" s="5">
        <v>2738244</v>
      </c>
      <c r="BR113" s="4">
        <v>0</v>
      </c>
      <c r="BS113" s="4">
        <v>17</v>
      </c>
      <c r="BT113" s="4">
        <v>2016</v>
      </c>
      <c r="BU113" s="4" t="s">
        <v>163</v>
      </c>
      <c r="BV113" s="4" t="s">
        <v>4154</v>
      </c>
      <c r="BW113" s="4" t="s">
        <v>98</v>
      </c>
      <c r="BX113" s="4" t="s">
        <v>1408</v>
      </c>
      <c r="BY113" s="4">
        <v>6719</v>
      </c>
      <c r="BZ113" s="4" t="s">
        <v>1409</v>
      </c>
      <c r="CA113" s="4">
        <v>1382</v>
      </c>
      <c r="CB113" s="4" t="s">
        <v>120</v>
      </c>
      <c r="CC113" s="4">
        <v>67199901</v>
      </c>
      <c r="CD113" s="4" t="s">
        <v>3393</v>
      </c>
      <c r="CE113" s="4">
        <v>13820000</v>
      </c>
      <c r="CF113" s="4" t="s">
        <v>119</v>
      </c>
      <c r="CG113" s="4">
        <v>551112</v>
      </c>
      <c r="CH113" s="4" t="s">
        <v>1411</v>
      </c>
      <c r="CI113" s="4">
        <v>213112</v>
      </c>
      <c r="CJ113" s="4" t="s">
        <v>74</v>
      </c>
      <c r="CK113" s="19">
        <f>W113</f>
        <v>40000000</v>
      </c>
      <c r="CL113" s="20">
        <f>IF(BS113&gt;0,BS113,Y113)</f>
        <v>17</v>
      </c>
      <c r="CM113" s="34">
        <f>IF(CG113&gt;0,CG113,AM113)</f>
        <v>551112</v>
      </c>
      <c r="CN113" s="80">
        <f>IF($BH113="",1,COUNTIF($BH$3:$BH113,$BH113))</f>
        <v>1</v>
      </c>
      <c r="CP113" t="str">
        <f>IF($K113="Standard Match","Match",IF($K113="Name Only Match",IF($CO113="Yes","Match","Name Only Match"),"No Match"))</f>
        <v>Match</v>
      </c>
      <c r="CQ113" s="35" t="str">
        <f>IF(AND(CP113="Match",CK113&gt;0,CL113&gt;0),"Y","N")</f>
        <v>Y</v>
      </c>
      <c r="CS113" t="str">
        <f>IF($CQ113="Y",VLOOKUP($CM113,'SBA Size Standards'!$B$3:$G$57,MATCH('SBA Size Standards'!$G$3,'SBA Size Standards'!$B$3:$G$3,0),FALSE),"")</f>
        <v>Revenue</v>
      </c>
      <c r="CT113" s="60">
        <f>IF(CQ113="Y",IF($CS113="Employment","N/A",VLOOKUP($CM113,'SBA Size Standards'!$B$3:$G$57,MATCH('SBA Size Standards'!$E$3,'SBA Size Standards'!$B$3:$G$3,0),FALSE)),"")</f>
        <v>22000000</v>
      </c>
      <c r="CU113" s="86" t="str">
        <f>IF($CQ113="Y",IF($CS113="Revenue","N/A",VLOOKUP($CM113,'SBA Size Standards'!$B$3:$G$57,MATCH('SBA Size Standards'!$F$3,'SBA Size Standards'!$B$3:$G$3,0),FALSE)),"")</f>
        <v>N/A</v>
      </c>
      <c r="CV113" t="str">
        <f>IF($CQ113="Y",IF(OR(AND($CS113="Employment",$CL113&lt;$CU113),AND($CS113="Revenue",$CK113&lt;$CT113)),"YES","NO"),"")</f>
        <v>NO</v>
      </c>
      <c r="CW113" s="90" t="str">
        <f>IF($CQ113="Y",INDEX('SBA Size Standards'!$N$3:$N$12,MATCH($CK113,'SBA Size Standards'!$O$3:$O$12,1)),"")</f>
        <v>$5,000,001 - $100,000,000</v>
      </c>
      <c r="CX113" s="122" t="s">
        <v>4567</v>
      </c>
      <c r="CY113" s="122">
        <f>INDEX('NM O&amp;G Production'!$P$3:$P$537,MATCH(CX113,'NM O&amp;G Production'!$Q$3:$Q$537,0))</f>
        <v>79</v>
      </c>
      <c r="CZ113" s="122" t="str">
        <f>INDEX('NM O&amp;G Production'!$O$3:$O$537,MATCH(CY113,'NM O&amp;G Production'!$P$3:$P$537,0))</f>
        <v>Yes</v>
      </c>
      <c r="DA113" s="127">
        <f>INDEX('NM O&amp;G Production'!$K$3:$O$537,MATCH($CY113,'NM O&amp;G Production'!$P$3:$P$537,0),MATCH(DA$2,'NM O&amp;G Production'!$K$2:$O$2,0))</f>
        <v>93</v>
      </c>
      <c r="DB113" s="127">
        <f>INDEX('NM O&amp;G Production'!$K$3:$O$537,MATCH($CY113,'NM O&amp;G Production'!$P$3:$P$537,0),MATCH(DB$2,'NM O&amp;G Production'!$K$2:$O$2,0))</f>
        <v>74</v>
      </c>
      <c r="DC113" s="127">
        <f>DA113+DB113</f>
        <v>167</v>
      </c>
      <c r="DD113" s="127">
        <f>INDEX('NM O&amp;G Production'!$K$3:$O$537,MATCH($CY113,'NM O&amp;G Production'!$P$3:$P$537,0),MATCH(DD$2,'NM O&amp;G Production'!$K$2:$O$2,0))</f>
        <v>13326277</v>
      </c>
      <c r="DE113" s="127">
        <f>INDEX('NM O&amp;G Production'!$K$3:$O$537,MATCH($CY113,'NM O&amp;G Production'!$P$3:$P$537,0),MATCH(DE$2,'NM O&amp;G Production'!$K$2:$O$2,0))</f>
        <v>3866540</v>
      </c>
      <c r="DF113" s="258">
        <f>CK113/(DB113+DA113)</f>
        <v>239520.95808383235</v>
      </c>
      <c r="DG113" s="57">
        <f>DD113*(12/18)*1.06*'Oil and Gas Prices'!$C$18</f>
        <v>22507193.434533332</v>
      </c>
      <c r="DH113" s="284">
        <f>DE113*(12/18)*'Oil and Gas Prices'!$C$4</f>
        <v>115996199.99999999</v>
      </c>
      <c r="DI113" s="284">
        <f>DG113+DH113</f>
        <v>138503393.43453333</v>
      </c>
      <c r="DJ113" s="57">
        <f>(DG113+DH113)/(DA113+DB113)</f>
        <v>829361.63733253488</v>
      </c>
      <c r="DK113" s="319"/>
    </row>
    <row r="114" spans="1:115" x14ac:dyDescent="0.25">
      <c r="A114" t="s">
        <v>428</v>
      </c>
      <c r="B114" t="s">
        <v>429</v>
      </c>
      <c r="D114" t="s">
        <v>303</v>
      </c>
      <c r="E114" t="s">
        <v>80</v>
      </c>
      <c r="F114" t="s">
        <v>430</v>
      </c>
      <c r="G114" t="s">
        <v>62</v>
      </c>
      <c r="I114">
        <v>52</v>
      </c>
      <c r="J114" t="s">
        <v>63</v>
      </c>
      <c r="K114" t="s">
        <v>4133</v>
      </c>
      <c r="L114" t="s">
        <v>64</v>
      </c>
      <c r="M114">
        <v>10</v>
      </c>
      <c r="N114" t="s">
        <v>431</v>
      </c>
      <c r="O114" t="s">
        <v>432</v>
      </c>
      <c r="Q114" t="s">
        <v>433</v>
      </c>
      <c r="R114" t="s">
        <v>153</v>
      </c>
      <c r="S114" t="s">
        <v>94</v>
      </c>
      <c r="T114" t="s">
        <v>430</v>
      </c>
      <c r="U114" t="s">
        <v>62</v>
      </c>
      <c r="V114">
        <v>4326823753</v>
      </c>
      <c r="W114" s="1">
        <v>37811609</v>
      </c>
      <c r="X114">
        <v>4</v>
      </c>
      <c r="Y114">
        <v>71</v>
      </c>
      <c r="Z114">
        <v>1945</v>
      </c>
      <c r="AA114" t="s">
        <v>163</v>
      </c>
      <c r="AB114" t="s">
        <v>434</v>
      </c>
      <c r="AC114" t="s">
        <v>145</v>
      </c>
      <c r="AD114" t="s">
        <v>99</v>
      </c>
      <c r="AE114">
        <v>1311</v>
      </c>
      <c r="AF114" t="s">
        <v>100</v>
      </c>
      <c r="AI114">
        <v>13110101</v>
      </c>
      <c r="AJ114" t="s">
        <v>102</v>
      </c>
      <c r="AM114">
        <v>211120</v>
      </c>
      <c r="AN114" t="s">
        <v>104</v>
      </c>
      <c r="AQ114" t="s">
        <v>75</v>
      </c>
      <c r="AR114" t="s">
        <v>431</v>
      </c>
      <c r="AS114" t="s">
        <v>432</v>
      </c>
      <c r="AT114" t="s">
        <v>427</v>
      </c>
      <c r="AU114" t="s">
        <v>80</v>
      </c>
      <c r="AV114" t="s">
        <v>62</v>
      </c>
      <c r="AW114" t="s">
        <v>431</v>
      </c>
      <c r="AX114" t="s">
        <v>432</v>
      </c>
      <c r="AY114" t="s">
        <v>80</v>
      </c>
      <c r="AZ114" t="s">
        <v>62</v>
      </c>
      <c r="BE114" t="s">
        <v>62</v>
      </c>
      <c r="BF114">
        <v>1</v>
      </c>
      <c r="BG114">
        <v>5</v>
      </c>
      <c r="BH114" s="4" t="s">
        <v>431</v>
      </c>
      <c r="BI114" s="4" t="s">
        <v>432</v>
      </c>
      <c r="BK114" s="4" t="s">
        <v>433</v>
      </c>
      <c r="BL114" s="4" t="s">
        <v>153</v>
      </c>
      <c r="BM114" s="4" t="s">
        <v>94</v>
      </c>
      <c r="BN114" s="4" t="s">
        <v>430</v>
      </c>
      <c r="BO114" s="4" t="s">
        <v>62</v>
      </c>
      <c r="BP114" s="4">
        <v>4326823753</v>
      </c>
      <c r="BQ114" s="5">
        <v>37811609</v>
      </c>
      <c r="BR114" s="4">
        <v>4</v>
      </c>
      <c r="BS114" s="4">
        <v>71</v>
      </c>
      <c r="BT114" s="4">
        <v>1945</v>
      </c>
      <c r="BU114" s="4" t="s">
        <v>163</v>
      </c>
      <c r="BV114" s="4" t="s">
        <v>434</v>
      </c>
      <c r="BW114" s="4" t="s">
        <v>145</v>
      </c>
      <c r="BX114" s="4" t="s">
        <v>99</v>
      </c>
      <c r="BY114" s="4">
        <v>1311</v>
      </c>
      <c r="BZ114" s="4" t="s">
        <v>100</v>
      </c>
      <c r="CC114" s="4">
        <v>13110101</v>
      </c>
      <c r="CD114" s="4" t="s">
        <v>102</v>
      </c>
      <c r="CG114" s="4">
        <v>211120</v>
      </c>
      <c r="CH114" s="4" t="s">
        <v>104</v>
      </c>
      <c r="CK114" s="19">
        <f>IF(BQ114&gt;0,BQ114,W114)</f>
        <v>37811609</v>
      </c>
      <c r="CL114" s="20">
        <f>IF(BS114&gt;0,BS114,Y114)</f>
        <v>71</v>
      </c>
      <c r="CM114" s="34">
        <f>IF(CG114&gt;0,CG114,AM114)</f>
        <v>211120</v>
      </c>
      <c r="CN114" s="80">
        <f>IF($BH114="",1,COUNTIF($BH$3:$BH114,$BH114))</f>
        <v>1</v>
      </c>
      <c r="CP114" t="str">
        <f>IF($K114="Standard Match","Match",IF($K114="Name Only Match",IF($CO114="Yes","Match","Name Only Match"),"No Match"))</f>
        <v>Match</v>
      </c>
      <c r="CQ114" s="35" t="str">
        <f>IF(AND(CP114="Match",CK114&gt;0,CL114&gt;0),"Y","N")</f>
        <v>Y</v>
      </c>
      <c r="CS114" t="str">
        <f>IF($CQ114="Y",VLOOKUP($CM114,'SBA Size Standards'!$B$3:$G$57,MATCH('SBA Size Standards'!$G$3,'SBA Size Standards'!$B$3:$G$3,0),FALSE),"")</f>
        <v>Employment</v>
      </c>
      <c r="CT114" s="60" t="str">
        <f>IF(CQ114="Y",IF($CS114="Employment","N/A",VLOOKUP($CM114,'SBA Size Standards'!$B$3:$G$57,MATCH('SBA Size Standards'!$E$3,'SBA Size Standards'!$B$3:$G$3,0),FALSE)),"")</f>
        <v>N/A</v>
      </c>
      <c r="CU114" s="86">
        <f>IF($CQ114="Y",IF($CS114="Revenue","N/A",VLOOKUP($CM114,'SBA Size Standards'!$B$3:$G$57,MATCH('SBA Size Standards'!$F$3,'SBA Size Standards'!$B$3:$G$3,0),FALSE)),"")</f>
        <v>1250</v>
      </c>
      <c r="CV114" t="str">
        <f>IF($CQ114="Y",IF(OR(AND($CS114="Employment",$CL114&lt;$CU114),AND($CS114="Revenue",$CK114&lt;$CT114)),"YES","NO"),"")</f>
        <v>YES</v>
      </c>
      <c r="CW114" s="90" t="str">
        <f>IF($CQ114="Y",INDEX('SBA Size Standards'!$N$3:$N$12,MATCH($CK114,'SBA Size Standards'!$O$3:$O$12,1)),"")</f>
        <v>$5,000,001 - $100,000,000</v>
      </c>
      <c r="CX114" s="122" t="s">
        <v>4552</v>
      </c>
      <c r="CY114" s="122">
        <f>INDEX('NM O&amp;G Production'!$P$3:$P$537,MATCH(CX114,'NM O&amp;G Production'!$Q$3:$Q$537,0))</f>
        <v>52</v>
      </c>
      <c r="CZ114" s="122" t="str">
        <f>INDEX('NM O&amp;G Production'!$O$3:$O$537,MATCH(CY114,'NM O&amp;G Production'!$P$3:$P$537,0))</f>
        <v>Yes</v>
      </c>
      <c r="DA114" s="127">
        <f>INDEX('NM O&amp;G Production'!$K$3:$O$537,MATCH($CY114,'NM O&amp;G Production'!$P$3:$P$537,0),MATCH(DA$2,'NM O&amp;G Production'!$K$2:$O$2,0))</f>
        <v>93</v>
      </c>
      <c r="DB114" s="127">
        <f>INDEX('NM O&amp;G Production'!$K$3:$O$537,MATCH($CY114,'NM O&amp;G Production'!$P$3:$P$537,0),MATCH(DB$2,'NM O&amp;G Production'!$K$2:$O$2,0))</f>
        <v>59</v>
      </c>
      <c r="DC114" s="127">
        <f>DA114+DB114</f>
        <v>152</v>
      </c>
      <c r="DD114" s="127">
        <f>INDEX('NM O&amp;G Production'!$K$3:$O$537,MATCH($CY114,'NM O&amp;G Production'!$P$3:$P$537,0),MATCH(DD$2,'NM O&amp;G Production'!$K$2:$O$2,0))</f>
        <v>35441176</v>
      </c>
      <c r="DE114" s="127">
        <f>INDEX('NM O&amp;G Production'!$K$3:$O$537,MATCH($CY114,'NM O&amp;G Production'!$P$3:$P$537,0),MATCH(DE$2,'NM O&amp;G Production'!$K$2:$O$2,0))</f>
        <v>6883725</v>
      </c>
      <c r="DF114" s="258">
        <f>CK114/(DB114+DA114)</f>
        <v>248760.58552631579</v>
      </c>
      <c r="DG114" s="57">
        <f>DD114*(12/18)*1.06*'Oil and Gas Prices'!$C$18</f>
        <v>59857783.518933341</v>
      </c>
      <c r="DH114" s="284">
        <f>DE114*(12/18)*'Oil and Gas Prices'!$C$4</f>
        <v>206511750</v>
      </c>
      <c r="DI114" s="284">
        <f>DG114+DH114</f>
        <v>266369533.51893336</v>
      </c>
      <c r="DJ114" s="57">
        <f>(DG114+DH114)/(DA114+DB114)</f>
        <v>1752431.1415719299</v>
      </c>
      <c r="DK114" s="319"/>
    </row>
    <row r="115" spans="1:115" x14ac:dyDescent="0.25">
      <c r="A115" t="s">
        <v>3248</v>
      </c>
      <c r="B115" t="s">
        <v>1885</v>
      </c>
      <c r="D115" t="s">
        <v>88</v>
      </c>
      <c r="E115" t="s">
        <v>80</v>
      </c>
      <c r="F115">
        <v>76102</v>
      </c>
      <c r="G115" t="s">
        <v>62</v>
      </c>
      <c r="I115">
        <v>478</v>
      </c>
      <c r="J115" t="s">
        <v>392</v>
      </c>
      <c r="K115" t="s">
        <v>4133</v>
      </c>
      <c r="L115" t="s">
        <v>113</v>
      </c>
      <c r="M115">
        <v>8</v>
      </c>
      <c r="N115" t="s">
        <v>3249</v>
      </c>
      <c r="O115" t="s">
        <v>3250</v>
      </c>
      <c r="Q115" t="s">
        <v>3251</v>
      </c>
      <c r="R115" t="s">
        <v>88</v>
      </c>
      <c r="S115" t="s">
        <v>94</v>
      </c>
      <c r="T115" t="s">
        <v>3252</v>
      </c>
      <c r="U115" t="s">
        <v>62</v>
      </c>
      <c r="V115">
        <v>8173362751</v>
      </c>
      <c r="W115" s="1">
        <v>35203363</v>
      </c>
      <c r="X115">
        <v>58</v>
      </c>
      <c r="Y115">
        <v>70</v>
      </c>
      <c r="Z115">
        <v>1973</v>
      </c>
      <c r="AA115" t="s">
        <v>163</v>
      </c>
      <c r="AB115" t="s">
        <v>3253</v>
      </c>
      <c r="AC115" t="s">
        <v>242</v>
      </c>
      <c r="AD115" t="s">
        <v>99</v>
      </c>
      <c r="AE115">
        <v>1311</v>
      </c>
      <c r="AF115" t="s">
        <v>100</v>
      </c>
      <c r="AG115">
        <v>1382</v>
      </c>
      <c r="AH115" t="s">
        <v>120</v>
      </c>
      <c r="AI115">
        <v>13110101</v>
      </c>
      <c r="AJ115" t="s">
        <v>102</v>
      </c>
      <c r="AK115">
        <v>13820000</v>
      </c>
      <c r="AL115" t="s">
        <v>119</v>
      </c>
      <c r="AM115">
        <v>211120</v>
      </c>
      <c r="AN115" t="s">
        <v>104</v>
      </c>
      <c r="AO115">
        <v>213112</v>
      </c>
      <c r="AP115" t="s">
        <v>74</v>
      </c>
      <c r="AQ115" t="s">
        <v>75</v>
      </c>
      <c r="AR115" t="s">
        <v>3249</v>
      </c>
      <c r="AS115" t="s">
        <v>3250</v>
      </c>
      <c r="AT115" t="s">
        <v>427</v>
      </c>
      <c r="AU115" t="s">
        <v>80</v>
      </c>
      <c r="AV115" t="s">
        <v>62</v>
      </c>
      <c r="AW115" t="s">
        <v>3249</v>
      </c>
      <c r="AX115" t="s">
        <v>3250</v>
      </c>
      <c r="AY115" t="s">
        <v>80</v>
      </c>
      <c r="AZ115" t="s">
        <v>62</v>
      </c>
      <c r="BE115" t="s">
        <v>62</v>
      </c>
      <c r="BF115">
        <v>1</v>
      </c>
      <c r="BG115">
        <v>4</v>
      </c>
      <c r="BH115" s="4" t="s">
        <v>3249</v>
      </c>
      <c r="BI115" s="4" t="s">
        <v>3250</v>
      </c>
      <c r="BK115" s="4" t="s">
        <v>3251</v>
      </c>
      <c r="BL115" s="4" t="s">
        <v>88</v>
      </c>
      <c r="BM115" s="4" t="s">
        <v>94</v>
      </c>
      <c r="BN115" s="4" t="s">
        <v>3252</v>
      </c>
      <c r="BO115" s="4" t="s">
        <v>62</v>
      </c>
      <c r="BP115" s="4">
        <v>8173362751</v>
      </c>
      <c r="BQ115" s="5">
        <v>35203363</v>
      </c>
      <c r="BR115" s="4">
        <v>58</v>
      </c>
      <c r="BS115" s="4">
        <v>70</v>
      </c>
      <c r="BT115" s="4">
        <v>1973</v>
      </c>
      <c r="BU115" s="4" t="s">
        <v>163</v>
      </c>
      <c r="BV115" s="4" t="s">
        <v>3253</v>
      </c>
      <c r="BW115" s="4" t="s">
        <v>242</v>
      </c>
      <c r="BX115" s="4" t="s">
        <v>99</v>
      </c>
      <c r="BY115" s="4">
        <v>1311</v>
      </c>
      <c r="BZ115" s="4" t="s">
        <v>100</v>
      </c>
      <c r="CA115" s="4">
        <v>1382</v>
      </c>
      <c r="CB115" s="4" t="s">
        <v>120</v>
      </c>
      <c r="CC115" s="4">
        <v>13110101</v>
      </c>
      <c r="CD115" s="4" t="s">
        <v>102</v>
      </c>
      <c r="CE115" s="4">
        <v>13820000</v>
      </c>
      <c r="CF115" s="4" t="s">
        <v>119</v>
      </c>
      <c r="CG115" s="4">
        <v>211120</v>
      </c>
      <c r="CH115" s="4" t="s">
        <v>104</v>
      </c>
      <c r="CI115" s="4">
        <v>213112</v>
      </c>
      <c r="CJ115" s="4" t="s">
        <v>74</v>
      </c>
      <c r="CK115" s="19">
        <f>IF(BQ115&gt;0,BQ115,W115)</f>
        <v>35203363</v>
      </c>
      <c r="CL115" s="20">
        <f>IF(BS115&gt;0,BS115,Y115)</f>
        <v>70</v>
      </c>
      <c r="CM115" s="34">
        <f>IF(CG115&gt;0,CG115,AM115)</f>
        <v>211120</v>
      </c>
      <c r="CN115" s="80">
        <f>IF($BH115="",1,COUNTIF($BH$3:$BH115,$BH115))</f>
        <v>1</v>
      </c>
      <c r="CP115" t="str">
        <f>IF($K115="Standard Match","Match",IF($K115="Name Only Match",IF($CO115="Yes","Match","Name Only Match"),"No Match"))</f>
        <v>Match</v>
      </c>
      <c r="CQ115" s="35" t="str">
        <f>IF(AND(CP115="Match",CK115&gt;0,CL115&gt;0),"Y","N")</f>
        <v>Y</v>
      </c>
      <c r="CS115" t="str">
        <f>IF($CQ115="Y",VLOOKUP($CM115,'SBA Size Standards'!$B$3:$G$57,MATCH('SBA Size Standards'!$G$3,'SBA Size Standards'!$B$3:$G$3,0),FALSE),"")</f>
        <v>Employment</v>
      </c>
      <c r="CT115" s="60" t="str">
        <f>IF(CQ115="Y",IF($CS115="Employment","N/A",VLOOKUP($CM115,'SBA Size Standards'!$B$3:$G$57,MATCH('SBA Size Standards'!$E$3,'SBA Size Standards'!$B$3:$G$3,0),FALSE)),"")</f>
        <v>N/A</v>
      </c>
      <c r="CU115" s="86">
        <f>IF($CQ115="Y",IF($CS115="Revenue","N/A",VLOOKUP($CM115,'SBA Size Standards'!$B$3:$G$57,MATCH('SBA Size Standards'!$F$3,'SBA Size Standards'!$B$3:$G$3,0),FALSE)),"")</f>
        <v>1250</v>
      </c>
      <c r="CV115" t="str">
        <f>IF($CQ115="Y",IF(OR(AND($CS115="Employment",$CL115&lt;$CU115),AND($CS115="Revenue",$CK115&lt;$CT115)),"YES","NO"),"")</f>
        <v>YES</v>
      </c>
      <c r="CW115" s="90" t="str">
        <f>IF($CQ115="Y",INDEX('SBA Size Standards'!$N$3:$N$12,MATCH($CK115,'SBA Size Standards'!$O$3:$O$12,1)),"")</f>
        <v>$5,000,001 - $100,000,000</v>
      </c>
      <c r="CX115" s="122" t="s">
        <v>4912</v>
      </c>
      <c r="CY115" s="122">
        <f>INDEX('NM O&amp;G Production'!$P$3:$P$537,MATCH(CX115,'NM O&amp;G Production'!$Q$3:$Q$537,0))</f>
        <v>478</v>
      </c>
      <c r="CZ115" s="122" t="str">
        <f>INDEX('NM O&amp;G Production'!$O$3:$O$537,MATCH(CY115,'NM O&amp;G Production'!$P$3:$P$537,0))</f>
        <v>Yes</v>
      </c>
      <c r="DA115" s="127">
        <f>INDEX('NM O&amp;G Production'!$K$3:$O$537,MATCH($CY115,'NM O&amp;G Production'!$P$3:$P$537,0),MATCH(DA$2,'NM O&amp;G Production'!$K$2:$O$2,0))</f>
        <v>13</v>
      </c>
      <c r="DB115" s="127">
        <f>INDEX('NM O&amp;G Production'!$K$3:$O$537,MATCH($CY115,'NM O&amp;G Production'!$P$3:$P$537,0),MATCH(DB$2,'NM O&amp;G Production'!$K$2:$O$2,0))</f>
        <v>27</v>
      </c>
      <c r="DC115" s="127">
        <f>DA115+DB115</f>
        <v>40</v>
      </c>
      <c r="DD115" s="127">
        <f>INDEX('NM O&amp;G Production'!$K$3:$O$537,MATCH($CY115,'NM O&amp;G Production'!$P$3:$P$537,0),MATCH(DD$2,'NM O&amp;G Production'!$K$2:$O$2,0))</f>
        <v>393146</v>
      </c>
      <c r="DE115" s="127">
        <f>INDEX('NM O&amp;G Production'!$K$3:$O$537,MATCH($CY115,'NM O&amp;G Production'!$P$3:$P$537,0),MATCH(DE$2,'NM O&amp;G Production'!$K$2:$O$2,0))</f>
        <v>128176</v>
      </c>
      <c r="DF115" s="258">
        <f>CK115/(DB115+DA115)</f>
        <v>880084.07499999995</v>
      </c>
      <c r="DG115" s="57">
        <f>DD115*(12/18)*1.06*'Oil and Gas Prices'!$C$18</f>
        <v>663997.38426666672</v>
      </c>
      <c r="DH115" s="284">
        <f>DE115*(12/18)*'Oil and Gas Prices'!$C$4</f>
        <v>3845279.9999999995</v>
      </c>
      <c r="DI115" s="284">
        <f>DG115+DH115</f>
        <v>4509277.3842666661</v>
      </c>
      <c r="DJ115" s="57">
        <f>(DG115+DH115)/(DA115+DB115)</f>
        <v>112731.93460666665</v>
      </c>
      <c r="DK115" s="318"/>
    </row>
    <row r="116" spans="1:115" x14ac:dyDescent="0.25">
      <c r="A116" t="s">
        <v>2985</v>
      </c>
      <c r="B116" t="s">
        <v>2986</v>
      </c>
      <c r="D116" t="s">
        <v>183</v>
      </c>
      <c r="E116" t="s">
        <v>184</v>
      </c>
      <c r="F116">
        <v>74119</v>
      </c>
      <c r="G116" t="s">
        <v>62</v>
      </c>
      <c r="I116">
        <v>435</v>
      </c>
      <c r="J116" t="s">
        <v>63</v>
      </c>
      <c r="K116" t="s">
        <v>4133</v>
      </c>
      <c r="L116" t="s">
        <v>64</v>
      </c>
      <c r="M116">
        <v>10</v>
      </c>
      <c r="N116" t="s">
        <v>2987</v>
      </c>
      <c r="O116" t="s">
        <v>2988</v>
      </c>
      <c r="P116" t="s">
        <v>2989</v>
      </c>
      <c r="Q116" t="s">
        <v>2990</v>
      </c>
      <c r="R116" t="s">
        <v>183</v>
      </c>
      <c r="S116" t="s">
        <v>188</v>
      </c>
      <c r="T116" t="s">
        <v>2991</v>
      </c>
      <c r="U116" t="s">
        <v>62</v>
      </c>
      <c r="V116">
        <v>9182892949</v>
      </c>
      <c r="W116" s="1">
        <v>31000000</v>
      </c>
      <c r="X116">
        <v>8</v>
      </c>
      <c r="Y116">
        <v>10</v>
      </c>
      <c r="Z116">
        <v>2016</v>
      </c>
      <c r="AA116" t="s">
        <v>163</v>
      </c>
      <c r="AB116" t="s">
        <v>2992</v>
      </c>
      <c r="AC116" t="s">
        <v>133</v>
      </c>
      <c r="AD116" t="s">
        <v>119</v>
      </c>
      <c r="AE116">
        <v>1382</v>
      </c>
      <c r="AF116" t="s">
        <v>120</v>
      </c>
      <c r="AI116">
        <v>13820000</v>
      </c>
      <c r="AJ116" t="s">
        <v>119</v>
      </c>
      <c r="AM116">
        <v>213112</v>
      </c>
      <c r="AN116" t="s">
        <v>74</v>
      </c>
      <c r="AQ116" t="s">
        <v>75</v>
      </c>
      <c r="AR116" t="s">
        <v>2987</v>
      </c>
      <c r="AS116" t="s">
        <v>2988</v>
      </c>
      <c r="AT116" t="s">
        <v>427</v>
      </c>
      <c r="AU116" t="s">
        <v>184</v>
      </c>
      <c r="AV116" t="s">
        <v>62</v>
      </c>
      <c r="AW116" t="s">
        <v>2987</v>
      </c>
      <c r="AX116" t="s">
        <v>2988</v>
      </c>
      <c r="AY116" t="s">
        <v>184</v>
      </c>
      <c r="AZ116" t="s">
        <v>62</v>
      </c>
      <c r="BE116" t="s">
        <v>62</v>
      </c>
      <c r="BF116">
        <v>1</v>
      </c>
      <c r="BG116">
        <v>2</v>
      </c>
      <c r="BH116" s="4" t="s">
        <v>2987</v>
      </c>
      <c r="BI116" s="4" t="s">
        <v>2988</v>
      </c>
      <c r="BJ116" s="4" t="s">
        <v>2989</v>
      </c>
      <c r="BK116" s="4" t="s">
        <v>2990</v>
      </c>
      <c r="BL116" s="4" t="s">
        <v>183</v>
      </c>
      <c r="BM116" s="4" t="s">
        <v>188</v>
      </c>
      <c r="BN116" s="4" t="s">
        <v>2991</v>
      </c>
      <c r="BO116" s="4" t="s">
        <v>62</v>
      </c>
      <c r="BP116" s="4">
        <v>9182892949</v>
      </c>
      <c r="BQ116" s="5">
        <v>31000000</v>
      </c>
      <c r="BR116" s="4">
        <v>8</v>
      </c>
      <c r="BS116" s="4">
        <v>10</v>
      </c>
      <c r="BT116" s="4">
        <v>2016</v>
      </c>
      <c r="BU116" s="4" t="s">
        <v>163</v>
      </c>
      <c r="BV116" s="4" t="s">
        <v>2992</v>
      </c>
      <c r="BW116" s="4" t="s">
        <v>133</v>
      </c>
      <c r="BX116" s="4" t="s">
        <v>119</v>
      </c>
      <c r="BY116" s="4">
        <v>1382</v>
      </c>
      <c r="BZ116" s="4" t="s">
        <v>120</v>
      </c>
      <c r="CC116" s="4">
        <v>13820000</v>
      </c>
      <c r="CD116" s="4" t="s">
        <v>119</v>
      </c>
      <c r="CG116" s="4">
        <v>213112</v>
      </c>
      <c r="CH116" s="4" t="s">
        <v>74</v>
      </c>
      <c r="CK116" s="19">
        <f>IF(BQ116&gt;0,BQ116,W116)</f>
        <v>31000000</v>
      </c>
      <c r="CL116" s="20">
        <f>IF(BS116&gt;0,BS116,Y116)</f>
        <v>10</v>
      </c>
      <c r="CM116" s="34">
        <f>IF(CG116&gt;0,CG116,AM116)</f>
        <v>213112</v>
      </c>
      <c r="CN116" s="80">
        <f>IF($BH116="",1,COUNTIF($BH$3:$BH116,$BH116))</f>
        <v>1</v>
      </c>
      <c r="CP116" t="str">
        <f>IF($K116="Standard Match","Match",IF($K116="Name Only Match",IF($CO116="Yes","Match","Name Only Match"),"No Match"))</f>
        <v>Match</v>
      </c>
      <c r="CQ116" s="35" t="str">
        <f>IF(AND(CP116="Match",CK116&gt;0,CL116&gt;0),"Y","N")</f>
        <v>Y</v>
      </c>
      <c r="CS116" t="str">
        <f>IF($CQ116="Y",VLOOKUP($CM116,'SBA Size Standards'!$B$3:$G$57,MATCH('SBA Size Standards'!$G$3,'SBA Size Standards'!$B$3:$G$3,0),FALSE),"")</f>
        <v>Revenue</v>
      </c>
      <c r="CT116" s="60">
        <f>IF(CQ116="Y",IF($CS116="Employment","N/A",VLOOKUP($CM116,'SBA Size Standards'!$B$3:$G$57,MATCH('SBA Size Standards'!$E$3,'SBA Size Standards'!$B$3:$G$3,0),FALSE)),"")</f>
        <v>41500000</v>
      </c>
      <c r="CU116" s="86" t="str">
        <f>IF($CQ116="Y",IF($CS116="Revenue","N/A",VLOOKUP($CM116,'SBA Size Standards'!$B$3:$G$57,MATCH('SBA Size Standards'!$F$3,'SBA Size Standards'!$B$3:$G$3,0),FALSE)),"")</f>
        <v>N/A</v>
      </c>
      <c r="CV116" t="str">
        <f>IF($CQ116="Y",IF(OR(AND($CS116="Employment",$CL116&lt;$CU116),AND($CS116="Revenue",$CK116&lt;$CT116)),"YES","NO"),"")</f>
        <v>YES</v>
      </c>
      <c r="CW116" s="90" t="str">
        <f>IF($CQ116="Y",INDEX('SBA Size Standards'!$N$3:$N$12,MATCH($CK116,'SBA Size Standards'!$O$3:$O$12,1)),"")</f>
        <v>$5,000,001 - $100,000,000</v>
      </c>
      <c r="CX116" s="122" t="s">
        <v>4743</v>
      </c>
      <c r="CY116" s="122">
        <f>INDEX('NM O&amp;G Production'!$P$3:$P$537,MATCH(CX116,'NM O&amp;G Production'!$Q$3:$Q$537,0))</f>
        <v>435</v>
      </c>
      <c r="CZ116" s="122" t="str">
        <f>INDEX('NM O&amp;G Production'!$O$3:$O$537,MATCH(CY116,'NM O&amp;G Production'!$P$3:$P$537,0))</f>
        <v>No</v>
      </c>
      <c r="DA116" s="127">
        <f>INDEX('NM O&amp;G Production'!$K$3:$O$537,MATCH($CY116,'NM O&amp;G Production'!$P$3:$P$537,0),MATCH(DA$2,'NM O&amp;G Production'!$K$2:$O$2,0))</f>
        <v>0</v>
      </c>
      <c r="DB116" s="127">
        <f>INDEX('NM O&amp;G Production'!$K$3:$O$537,MATCH($CY116,'NM O&amp;G Production'!$P$3:$P$537,0),MATCH(DB$2,'NM O&amp;G Production'!$K$2:$O$2,0))</f>
        <v>0</v>
      </c>
      <c r="DC116" s="127"/>
      <c r="DD116" s="127">
        <f>INDEX('NM O&amp;G Production'!$K$3:$O$537,MATCH($CY116,'NM O&amp;G Production'!$P$3:$P$537,0),MATCH(DD$2,'NM O&amp;G Production'!$K$2:$O$2,0))</f>
        <v>0</v>
      </c>
      <c r="DE116" s="127">
        <f>INDEX('NM O&amp;G Production'!$K$3:$O$537,MATCH($CY116,'NM O&amp;G Production'!$P$3:$P$537,0),MATCH(DE$2,'NM O&amp;G Production'!$K$2:$O$2,0))</f>
        <v>0</v>
      </c>
      <c r="DF116" s="258" t="e">
        <f>CK116/(DB116+DA116)</f>
        <v>#DIV/0!</v>
      </c>
      <c r="DG116" s="57">
        <f>DD116*(12/18)*1.06*'Oil and Gas Prices'!$C$18</f>
        <v>0</v>
      </c>
      <c r="DH116" s="284">
        <f>DE116*(12/18)*'Oil and Gas Prices'!$C$4</f>
        <v>0</v>
      </c>
      <c r="DI116" s="284"/>
      <c r="DJ116" s="57" t="e">
        <f>(DG116+DH116)/(DA116+DB116)</f>
        <v>#DIV/0!</v>
      </c>
      <c r="DK116" s="18" t="e">
        <f>CK116/DI116</f>
        <v>#DIV/0!</v>
      </c>
    </row>
    <row r="117" spans="1:115" x14ac:dyDescent="0.25">
      <c r="A117" t="s">
        <v>1872</v>
      </c>
      <c r="B117" t="s">
        <v>1873</v>
      </c>
      <c r="D117" t="s">
        <v>153</v>
      </c>
      <c r="E117" t="s">
        <v>80</v>
      </c>
      <c r="F117">
        <v>79702</v>
      </c>
      <c r="G117" t="s">
        <v>62</v>
      </c>
      <c r="I117">
        <v>259</v>
      </c>
      <c r="J117" t="s">
        <v>63</v>
      </c>
      <c r="K117" t="s">
        <v>4133</v>
      </c>
      <c r="L117" t="s">
        <v>64</v>
      </c>
      <c r="M117">
        <v>10</v>
      </c>
      <c r="N117" t="s">
        <v>1874</v>
      </c>
      <c r="O117" t="s">
        <v>1875</v>
      </c>
      <c r="P117" t="s">
        <v>1876</v>
      </c>
      <c r="Q117" t="s">
        <v>1877</v>
      </c>
      <c r="R117" t="s">
        <v>153</v>
      </c>
      <c r="S117" t="s">
        <v>94</v>
      </c>
      <c r="T117" t="s">
        <v>1878</v>
      </c>
      <c r="U117" t="s">
        <v>62</v>
      </c>
      <c r="V117">
        <v>4326895200</v>
      </c>
      <c r="W117" s="1">
        <v>1500189</v>
      </c>
      <c r="X117">
        <v>214</v>
      </c>
      <c r="Y117">
        <v>214</v>
      </c>
      <c r="Z117">
        <v>2006</v>
      </c>
      <c r="AA117" t="s">
        <v>70</v>
      </c>
      <c r="AB117" t="s">
        <v>1879</v>
      </c>
      <c r="AC117" t="s">
        <v>145</v>
      </c>
      <c r="AD117" t="s">
        <v>119</v>
      </c>
      <c r="AE117">
        <v>1382</v>
      </c>
      <c r="AF117" t="s">
        <v>120</v>
      </c>
      <c r="AI117">
        <v>13820000</v>
      </c>
      <c r="AJ117" t="s">
        <v>119</v>
      </c>
      <c r="AM117">
        <v>213112</v>
      </c>
      <c r="AN117" t="s">
        <v>74</v>
      </c>
      <c r="AQ117" t="s">
        <v>168</v>
      </c>
      <c r="AR117" t="s">
        <v>1880</v>
      </c>
      <c r="AS117" t="s">
        <v>1881</v>
      </c>
      <c r="AT117" t="s">
        <v>76</v>
      </c>
      <c r="AU117" t="s">
        <v>80</v>
      </c>
      <c r="AV117" t="s">
        <v>62</v>
      </c>
      <c r="AW117" t="s">
        <v>1880</v>
      </c>
      <c r="AX117" t="s">
        <v>1881</v>
      </c>
      <c r="AY117" t="s">
        <v>80</v>
      </c>
      <c r="AZ117" t="s">
        <v>62</v>
      </c>
      <c r="BA117" t="s">
        <v>1882</v>
      </c>
      <c r="BC117" t="s">
        <v>1883</v>
      </c>
      <c r="BD117" t="s">
        <v>80</v>
      </c>
      <c r="BE117" t="s">
        <v>62</v>
      </c>
      <c r="BF117">
        <v>3</v>
      </c>
      <c r="BG117">
        <v>14</v>
      </c>
      <c r="BH117" s="4" t="s">
        <v>1880</v>
      </c>
      <c r="BI117" s="4" t="s">
        <v>1881</v>
      </c>
      <c r="BJ117" s="4" t="s">
        <v>4178</v>
      </c>
      <c r="BK117" s="4" t="s">
        <v>4179</v>
      </c>
      <c r="BL117" s="4" t="s">
        <v>153</v>
      </c>
      <c r="BM117" s="4" t="s">
        <v>94</v>
      </c>
      <c r="BN117" s="4" t="s">
        <v>4180</v>
      </c>
      <c r="BO117" s="4" t="s">
        <v>62</v>
      </c>
      <c r="BP117" s="4">
        <v>4326895200</v>
      </c>
      <c r="BQ117" s="5">
        <v>30164000</v>
      </c>
      <c r="BR117" s="4">
        <v>11</v>
      </c>
      <c r="BS117" s="4">
        <v>317</v>
      </c>
      <c r="BT117" s="4">
        <v>2005</v>
      </c>
      <c r="BU117" s="4" t="s">
        <v>163</v>
      </c>
      <c r="BV117" s="4" t="s">
        <v>4181</v>
      </c>
      <c r="BW117" s="4" t="s">
        <v>133</v>
      </c>
      <c r="BX117" s="4" t="s">
        <v>99</v>
      </c>
      <c r="BY117" s="4">
        <v>1311</v>
      </c>
      <c r="BZ117" s="4" t="s">
        <v>100</v>
      </c>
      <c r="CC117" s="4">
        <v>13110000</v>
      </c>
      <c r="CD117" s="4" t="s">
        <v>276</v>
      </c>
      <c r="CG117" s="4">
        <v>211120</v>
      </c>
      <c r="CH117" s="4" t="s">
        <v>104</v>
      </c>
      <c r="CK117" s="19">
        <f>IF(BQ117&gt;0,BQ117,W117)</f>
        <v>30164000</v>
      </c>
      <c r="CL117" s="20">
        <f>IF(BS117&gt;0,BS117,Y117)</f>
        <v>317</v>
      </c>
      <c r="CM117" s="34">
        <f>IF(CG117&gt;0,CG117,AM117)</f>
        <v>211120</v>
      </c>
      <c r="CN117" s="80">
        <f>IF($BH117="",1,COUNTIF($BH$3:$BH117,$BH117))</f>
        <v>1</v>
      </c>
      <c r="CP117" t="str">
        <f>IF($K117="Standard Match","Match",IF($K117="Name Only Match",IF($CO117="Yes","Match","Name Only Match"),"No Match"))</f>
        <v>Match</v>
      </c>
      <c r="CQ117" s="35" t="str">
        <f>IF(AND(CP117="Match",CK117&gt;0,CL117&gt;0),"Y","N")</f>
        <v>Y</v>
      </c>
      <c r="CS117" t="str">
        <f>IF($CQ117="Y",VLOOKUP($CM117,'SBA Size Standards'!$B$3:$G$57,MATCH('SBA Size Standards'!$G$3,'SBA Size Standards'!$B$3:$G$3,0),FALSE),"")</f>
        <v>Employment</v>
      </c>
      <c r="CT117" s="60" t="str">
        <f>IF(CQ117="Y",IF($CS117="Employment","N/A",VLOOKUP($CM117,'SBA Size Standards'!$B$3:$G$57,MATCH('SBA Size Standards'!$E$3,'SBA Size Standards'!$B$3:$G$3,0),FALSE)),"")</f>
        <v>N/A</v>
      </c>
      <c r="CU117" s="86">
        <f>IF($CQ117="Y",IF($CS117="Revenue","N/A",VLOOKUP($CM117,'SBA Size Standards'!$B$3:$G$57,MATCH('SBA Size Standards'!$F$3,'SBA Size Standards'!$B$3:$G$3,0),FALSE)),"")</f>
        <v>1250</v>
      </c>
      <c r="CV117" t="str">
        <f>IF($CQ117="Y",IF(OR(AND($CS117="Employment",$CL117&lt;$CU117),AND($CS117="Revenue",$CK117&lt;$CT117)),"YES","NO"),"")</f>
        <v>YES</v>
      </c>
      <c r="CW117" s="90" t="str">
        <f>IF($CQ117="Y",INDEX('SBA Size Standards'!$N$3:$N$12,MATCH($CK117,'SBA Size Standards'!$O$3:$O$12,1)),"")</f>
        <v>$5,000,001 - $100,000,000</v>
      </c>
      <c r="CX117" s="122" t="s">
        <v>4657</v>
      </c>
      <c r="CY117" s="122">
        <f>INDEX('NM O&amp;G Production'!$P$3:$P$537,MATCH(CX117,'NM O&amp;G Production'!$Q$3:$Q$537,0))</f>
        <v>259</v>
      </c>
      <c r="CZ117" s="122" t="str">
        <f>INDEX('NM O&amp;G Production'!$O$3:$O$537,MATCH(CY117,'NM O&amp;G Production'!$P$3:$P$537,0))</f>
        <v>Yes</v>
      </c>
      <c r="DA117" s="127">
        <f>INDEX('NM O&amp;G Production'!$K$3:$O$537,MATCH($CY117,'NM O&amp;G Production'!$P$3:$P$537,0),MATCH(DA$2,'NM O&amp;G Production'!$K$2:$O$2,0))</f>
        <v>138</v>
      </c>
      <c r="DB117" s="127">
        <f>INDEX('NM O&amp;G Production'!$K$3:$O$537,MATCH($CY117,'NM O&amp;G Production'!$P$3:$P$537,0),MATCH(DB$2,'NM O&amp;G Production'!$K$2:$O$2,0))</f>
        <v>639</v>
      </c>
      <c r="DC117" s="127">
        <f>DA117+DB117</f>
        <v>777</v>
      </c>
      <c r="DD117" s="127">
        <f>INDEX('NM O&amp;G Production'!$K$3:$O$537,MATCH($CY117,'NM O&amp;G Production'!$P$3:$P$537,0),MATCH(DD$2,'NM O&amp;G Production'!$K$2:$O$2,0))</f>
        <v>13445416</v>
      </c>
      <c r="DE117" s="127">
        <f>INDEX('NM O&amp;G Production'!$K$3:$O$537,MATCH($CY117,'NM O&amp;G Production'!$P$3:$P$537,0),MATCH(DE$2,'NM O&amp;G Production'!$K$2:$O$2,0))</f>
        <v>4143249</v>
      </c>
      <c r="DF117" s="258">
        <f>CK117/(DB117+DA117)</f>
        <v>38821.10682110682</v>
      </c>
      <c r="DG117" s="57">
        <f>DD117*(12/18)*1.06*'Oil and Gas Prices'!$C$18</f>
        <v>22708411.262933336</v>
      </c>
      <c r="DH117" s="284">
        <f>DE117*(12/18)*'Oil and Gas Prices'!$C$4</f>
        <v>124297470</v>
      </c>
      <c r="DI117" s="284">
        <f>DG117+DH117</f>
        <v>147005881.26293334</v>
      </c>
      <c r="DJ117" s="57">
        <f>(DG117+DH117)/(DA117+DB117)</f>
        <v>189196.75838215358</v>
      </c>
      <c r="DK117" s="318"/>
    </row>
    <row r="118" spans="1:115" x14ac:dyDescent="0.25">
      <c r="A118" t="s">
        <v>2451</v>
      </c>
      <c r="B118" t="s">
        <v>2452</v>
      </c>
      <c r="D118" t="s">
        <v>153</v>
      </c>
      <c r="E118" t="s">
        <v>80</v>
      </c>
      <c r="F118">
        <v>79701</v>
      </c>
      <c r="G118" t="s">
        <v>62</v>
      </c>
      <c r="I118">
        <v>350</v>
      </c>
      <c r="J118" t="s">
        <v>404</v>
      </c>
      <c r="K118" t="s">
        <v>4133</v>
      </c>
      <c r="L118" t="s">
        <v>64</v>
      </c>
      <c r="M118">
        <v>10</v>
      </c>
      <c r="N118" t="s">
        <v>2453</v>
      </c>
      <c r="O118" t="s">
        <v>2454</v>
      </c>
      <c r="Q118" t="s">
        <v>2455</v>
      </c>
      <c r="R118" t="s">
        <v>153</v>
      </c>
      <c r="S118" t="s">
        <v>94</v>
      </c>
      <c r="T118" t="s">
        <v>2456</v>
      </c>
      <c r="U118" t="s">
        <v>62</v>
      </c>
      <c r="V118">
        <v>4326208480</v>
      </c>
      <c r="W118" s="1">
        <v>27966149</v>
      </c>
      <c r="X118">
        <v>15</v>
      </c>
      <c r="Y118">
        <v>15</v>
      </c>
      <c r="Z118">
        <v>2000</v>
      </c>
      <c r="AA118" t="s">
        <v>70</v>
      </c>
      <c r="AB118" t="s">
        <v>2457</v>
      </c>
      <c r="AC118" t="s">
        <v>98</v>
      </c>
      <c r="AD118" t="s">
        <v>99</v>
      </c>
      <c r="AE118">
        <v>1311</v>
      </c>
      <c r="AF118" t="s">
        <v>100</v>
      </c>
      <c r="AI118">
        <v>13110101</v>
      </c>
      <c r="AJ118" t="s">
        <v>102</v>
      </c>
      <c r="AM118">
        <v>211120</v>
      </c>
      <c r="AN118" t="s">
        <v>104</v>
      </c>
      <c r="AQ118" t="s">
        <v>75</v>
      </c>
      <c r="AT118" t="s">
        <v>76</v>
      </c>
      <c r="BF118">
        <v>0</v>
      </c>
      <c r="BG118">
        <v>0</v>
      </c>
      <c r="CK118" s="19">
        <f>IF(BQ118&gt;0,BQ118,W118)</f>
        <v>27966149</v>
      </c>
      <c r="CL118" s="20">
        <f>IF(BS118&gt;0,BS118,Y118)</f>
        <v>15</v>
      </c>
      <c r="CM118" s="34">
        <f>IF(CG118&gt;0,CG118,AM118)</f>
        <v>211120</v>
      </c>
      <c r="CN118" s="80">
        <f>IF($BH118="",1,COUNTIF($BH$3:$BH118,$BH118))</f>
        <v>1</v>
      </c>
      <c r="CP118" t="str">
        <f>IF($K118="Standard Match","Match",IF($K118="Name Only Match",IF($CO118="Yes","Match","Name Only Match"),"No Match"))</f>
        <v>Match</v>
      </c>
      <c r="CQ118" s="35" t="str">
        <f>IF(AND(CP118="Match",CK118&gt;0,CL118&gt;0),"Y","N")</f>
        <v>Y</v>
      </c>
      <c r="CS118" t="str">
        <f>IF($CQ118="Y",VLOOKUP($CM118,'SBA Size Standards'!$B$3:$G$57,MATCH('SBA Size Standards'!$G$3,'SBA Size Standards'!$B$3:$G$3,0),FALSE),"")</f>
        <v>Employment</v>
      </c>
      <c r="CT118" s="60" t="str">
        <f>IF(CQ118="Y",IF($CS118="Employment","N/A",VLOOKUP($CM118,'SBA Size Standards'!$B$3:$G$57,MATCH('SBA Size Standards'!$E$3,'SBA Size Standards'!$B$3:$G$3,0),FALSE)),"")</f>
        <v>N/A</v>
      </c>
      <c r="CU118" s="86">
        <f>IF($CQ118="Y",IF($CS118="Revenue","N/A",VLOOKUP($CM118,'SBA Size Standards'!$B$3:$G$57,MATCH('SBA Size Standards'!$F$3,'SBA Size Standards'!$B$3:$G$3,0),FALSE)),"")</f>
        <v>1250</v>
      </c>
      <c r="CV118" t="str">
        <f>IF($CQ118="Y",IF(OR(AND($CS118="Employment",$CL118&lt;$CU118),AND($CS118="Revenue",$CK118&lt;$CT118)),"YES","NO"),"")</f>
        <v>YES</v>
      </c>
      <c r="CW118" s="90" t="str">
        <f>IF($CQ118="Y",INDEX('SBA Size Standards'!$N$3:$N$12,MATCH($CK118,'SBA Size Standards'!$O$3:$O$12,1)),"")</f>
        <v>$5,000,001 - $100,000,000</v>
      </c>
      <c r="CX118" s="122" t="s">
        <v>4697</v>
      </c>
      <c r="CY118" s="122">
        <f>INDEX('NM O&amp;G Production'!$P$3:$P$537,MATCH(CX118,'NM O&amp;G Production'!$Q$3:$Q$537,0))</f>
        <v>350</v>
      </c>
      <c r="CZ118" s="122" t="str">
        <f>INDEX('NM O&amp;G Production'!$O$3:$O$537,MATCH(CY118,'NM O&amp;G Production'!$P$3:$P$537,0))</f>
        <v>No</v>
      </c>
      <c r="DA118" s="127">
        <f>INDEX('NM O&amp;G Production'!$K$3:$O$537,MATCH($CY118,'NM O&amp;G Production'!$P$3:$P$537,0),MATCH(DA$2,'NM O&amp;G Production'!$K$2:$O$2,0))</f>
        <v>0</v>
      </c>
      <c r="DB118" s="127">
        <f>INDEX('NM O&amp;G Production'!$K$3:$O$537,MATCH($CY118,'NM O&amp;G Production'!$P$3:$P$537,0),MATCH(DB$2,'NM O&amp;G Production'!$K$2:$O$2,0))</f>
        <v>0</v>
      </c>
      <c r="DC118" s="127"/>
      <c r="DD118" s="127">
        <f>INDEX('NM O&amp;G Production'!$K$3:$O$537,MATCH($CY118,'NM O&amp;G Production'!$P$3:$P$537,0),MATCH(DD$2,'NM O&amp;G Production'!$K$2:$O$2,0))</f>
        <v>0</v>
      </c>
      <c r="DE118" s="127">
        <f>INDEX('NM O&amp;G Production'!$K$3:$O$537,MATCH($CY118,'NM O&amp;G Production'!$P$3:$P$537,0),MATCH(DE$2,'NM O&amp;G Production'!$K$2:$O$2,0))</f>
        <v>0</v>
      </c>
      <c r="DF118" s="258" t="e">
        <f>CK118/(DB118+DA118)</f>
        <v>#DIV/0!</v>
      </c>
      <c r="DG118" s="57">
        <f>DD118*(12/18)*1.06*'Oil and Gas Prices'!$C$18</f>
        <v>0</v>
      </c>
      <c r="DH118" s="284">
        <f>DE118*(12/18)*'Oil and Gas Prices'!$C$4</f>
        <v>0</v>
      </c>
      <c r="DI118" s="284"/>
      <c r="DJ118" s="57" t="e">
        <f>(DG118+DH118)/(DA118+DB118)</f>
        <v>#DIV/0!</v>
      </c>
      <c r="DK118" s="18" t="e">
        <f>CK118/DI118</f>
        <v>#DIV/0!</v>
      </c>
    </row>
    <row r="119" spans="1:115" x14ac:dyDescent="0.25">
      <c r="A119" t="s">
        <v>3492</v>
      </c>
      <c r="B119" t="s">
        <v>3493</v>
      </c>
      <c r="D119" t="s">
        <v>112</v>
      </c>
      <c r="E119" t="s">
        <v>80</v>
      </c>
      <c r="F119">
        <v>77043</v>
      </c>
      <c r="G119" t="s">
        <v>62</v>
      </c>
      <c r="I119">
        <v>514</v>
      </c>
      <c r="J119" t="s">
        <v>63</v>
      </c>
      <c r="K119" t="s">
        <v>4133</v>
      </c>
      <c r="L119" t="s">
        <v>113</v>
      </c>
      <c r="M119">
        <v>8</v>
      </c>
      <c r="N119" t="s">
        <v>3494</v>
      </c>
      <c r="O119" t="s">
        <v>3495</v>
      </c>
      <c r="Q119" t="s">
        <v>3496</v>
      </c>
      <c r="R119" t="s">
        <v>112</v>
      </c>
      <c r="S119" t="s">
        <v>94</v>
      </c>
      <c r="T119" t="s">
        <v>3497</v>
      </c>
      <c r="U119" t="s">
        <v>62</v>
      </c>
      <c r="V119">
        <v>7133658518</v>
      </c>
      <c r="W119" s="1">
        <v>27000000</v>
      </c>
      <c r="X119">
        <v>33</v>
      </c>
      <c r="Y119">
        <v>33</v>
      </c>
      <c r="Z119">
        <v>2018</v>
      </c>
      <c r="AA119" t="s">
        <v>70</v>
      </c>
      <c r="AB119" t="s">
        <v>3498</v>
      </c>
      <c r="AC119" t="s">
        <v>98</v>
      </c>
      <c r="AD119" t="s">
        <v>1235</v>
      </c>
      <c r="AE119">
        <v>4911</v>
      </c>
      <c r="AF119" t="s">
        <v>1236</v>
      </c>
      <c r="AI119">
        <v>49119901</v>
      </c>
      <c r="AJ119" t="s">
        <v>3499</v>
      </c>
      <c r="AM119">
        <v>221122</v>
      </c>
      <c r="AN119" t="s">
        <v>3500</v>
      </c>
      <c r="AQ119" t="s">
        <v>75</v>
      </c>
      <c r="AT119" t="s">
        <v>76</v>
      </c>
      <c r="BF119">
        <v>0</v>
      </c>
      <c r="BG119">
        <v>0</v>
      </c>
      <c r="CK119" s="19">
        <f>IF(BQ119&gt;0,BQ119,W119)</f>
        <v>27000000</v>
      </c>
      <c r="CL119" s="20">
        <f>IF(BS119&gt;0,BS119,Y119)</f>
        <v>33</v>
      </c>
      <c r="CM119" s="34">
        <f>IF(CG119&gt;0,CG119,AM119)</f>
        <v>221122</v>
      </c>
      <c r="CN119" s="80">
        <f>IF($BH119="",1,COUNTIF($BH$3:$BH119,$BH119))</f>
        <v>1</v>
      </c>
      <c r="CP119" t="str">
        <f>IF($K119="Standard Match","Match",IF($K119="Name Only Match",IF($CO119="Yes","Match","Name Only Match"),"No Match"))</f>
        <v>Match</v>
      </c>
      <c r="CQ119" s="35" t="str">
        <f>IF(AND(CP119="Match",CK119&gt;0,CL119&gt;0),"Y","N")</f>
        <v>Y</v>
      </c>
      <c r="CS119" t="str">
        <f>IF($CQ119="Y",VLOOKUP($CM119,'SBA Size Standards'!$B$3:$G$57,MATCH('SBA Size Standards'!$G$3,'SBA Size Standards'!$B$3:$G$3,0),FALSE),"")</f>
        <v>Employment</v>
      </c>
      <c r="CT119" s="60" t="str">
        <f>IF(CQ119="Y",IF($CS119="Employment","N/A",VLOOKUP($CM119,'SBA Size Standards'!$B$3:$G$57,MATCH('SBA Size Standards'!$E$3,'SBA Size Standards'!$B$3:$G$3,0),FALSE)),"")</f>
        <v>N/A</v>
      </c>
      <c r="CU119" s="86">
        <f>IF($CQ119="Y",IF($CS119="Revenue","N/A",VLOOKUP($CM119,'SBA Size Standards'!$B$3:$G$57,MATCH('SBA Size Standards'!$F$3,'SBA Size Standards'!$B$3:$G$3,0),FALSE)),"")</f>
        <v>1000</v>
      </c>
      <c r="CV119" t="str">
        <f>IF($CQ119="Y",IF(OR(AND($CS119="Employment",$CL119&lt;$CU119),AND($CS119="Revenue",$CK119&lt;$CT119)),"YES","NO"),"")</f>
        <v>YES</v>
      </c>
      <c r="CW119" s="90" t="str">
        <f>IF($CQ119="Y",INDEX('SBA Size Standards'!$N$3:$N$12,MATCH($CK119,'SBA Size Standards'!$O$3:$O$12,1)),"")</f>
        <v>$5,000,001 - $100,000,000</v>
      </c>
      <c r="CX119" s="122" t="s">
        <v>4922</v>
      </c>
      <c r="CY119" s="122">
        <f>INDEX('NM O&amp;G Production'!$P$3:$P$537,MATCH(CX119,'NM O&amp;G Production'!$Q$3:$Q$537,0))</f>
        <v>514</v>
      </c>
      <c r="CZ119" s="122" t="str">
        <f>INDEX('NM O&amp;G Production'!$O$3:$O$537,MATCH(CY119,'NM O&amp;G Production'!$P$3:$P$537,0))</f>
        <v>yes</v>
      </c>
      <c r="DA119" s="127">
        <f>INDEX('NM O&amp;G Production'!$K$3:$O$537,MATCH($CY119,'NM O&amp;G Production'!$P$3:$P$537,0),MATCH(DA$2,'NM O&amp;G Production'!$K$2:$O$2,0))</f>
        <v>287</v>
      </c>
      <c r="DB119" s="127">
        <f>INDEX('NM O&amp;G Production'!$K$3:$O$537,MATCH($CY119,'NM O&amp;G Production'!$P$3:$P$537,0),MATCH(DB$2,'NM O&amp;G Production'!$K$2:$O$2,0))</f>
        <v>544</v>
      </c>
      <c r="DC119" s="127">
        <f>DA119+DB119</f>
        <v>831</v>
      </c>
      <c r="DD119" s="127">
        <f>INDEX('NM O&amp;G Production'!$K$3:$O$537,MATCH($CY119,'NM O&amp;G Production'!$P$3:$P$537,0),MATCH(DD$2,'NM O&amp;G Production'!$K$2:$O$2,0))</f>
        <v>23270175</v>
      </c>
      <c r="DE119" s="127">
        <f>INDEX('NM O&amp;G Production'!$K$3:$O$537,MATCH($CY119,'NM O&amp;G Production'!$P$3:$P$537,0),MATCH(DE$2,'NM O&amp;G Production'!$K$2:$O$2,0))</f>
        <v>0</v>
      </c>
      <c r="DF119" s="258">
        <f>CK119/(DB119+DA119)</f>
        <v>32490.974729241876</v>
      </c>
      <c r="DG119" s="57">
        <f>DD119*(12/18)*1.06*'Oil and Gas Prices'!$C$18</f>
        <v>39301774.230000004</v>
      </c>
      <c r="DH119" s="284">
        <f>DE119*(12/18)*'Oil and Gas Prices'!$C$4</f>
        <v>0</v>
      </c>
      <c r="DI119" s="284">
        <f>DG119+DH119</f>
        <v>39301774.230000004</v>
      </c>
      <c r="DJ119" s="57">
        <f>(DG119+DH119)/(DA119+DB119)</f>
        <v>47294.553826714808</v>
      </c>
      <c r="DK119" s="318"/>
    </row>
    <row r="120" spans="1:115" x14ac:dyDescent="0.25">
      <c r="A120" s="21" t="s">
        <v>520</v>
      </c>
      <c r="B120" s="21" t="s">
        <v>462</v>
      </c>
      <c r="C120" s="21"/>
      <c r="D120" s="21" t="s">
        <v>88</v>
      </c>
      <c r="E120" s="21" t="s">
        <v>80</v>
      </c>
      <c r="F120">
        <v>76102</v>
      </c>
      <c r="G120" t="s">
        <v>62</v>
      </c>
      <c r="I120">
        <v>63</v>
      </c>
      <c r="J120" t="s">
        <v>63</v>
      </c>
      <c r="K120" t="s">
        <v>4134</v>
      </c>
      <c r="L120" t="s">
        <v>3627</v>
      </c>
      <c r="M120">
        <v>8</v>
      </c>
      <c r="N120" t="s">
        <v>3798</v>
      </c>
      <c r="O120" s="21" t="s">
        <v>3799</v>
      </c>
      <c r="P120" s="21"/>
      <c r="Q120" s="21" t="s">
        <v>3800</v>
      </c>
      <c r="R120" s="21" t="s">
        <v>183</v>
      </c>
      <c r="S120" s="21" t="s">
        <v>188</v>
      </c>
      <c r="T120" t="s">
        <v>3801</v>
      </c>
      <c r="U120" t="s">
        <v>62</v>
      </c>
      <c r="W120" s="23">
        <v>143988</v>
      </c>
      <c r="X120" s="21">
        <v>2</v>
      </c>
      <c r="Y120" s="21">
        <v>2</v>
      </c>
      <c r="Z120">
        <v>2012</v>
      </c>
      <c r="AA120" s="21" t="s">
        <v>70</v>
      </c>
      <c r="AB120" t="s">
        <v>3802</v>
      </c>
      <c r="AC120" t="s">
        <v>98</v>
      </c>
      <c r="AD120" s="21" t="s">
        <v>119</v>
      </c>
      <c r="AE120">
        <v>1382</v>
      </c>
      <c r="AF120" t="s">
        <v>120</v>
      </c>
      <c r="AI120">
        <v>13820000</v>
      </c>
      <c r="AJ120" t="s">
        <v>119</v>
      </c>
      <c r="AM120" s="21">
        <v>213112</v>
      </c>
      <c r="AN120" s="21" t="s">
        <v>74</v>
      </c>
      <c r="AO120" s="21"/>
      <c r="AP120" s="21"/>
      <c r="AQ120" s="21" t="s">
        <v>168</v>
      </c>
      <c r="AR120" t="s">
        <v>3803</v>
      </c>
      <c r="AS120" t="s">
        <v>3804</v>
      </c>
      <c r="AT120" t="s">
        <v>76</v>
      </c>
      <c r="AU120" t="s">
        <v>184</v>
      </c>
      <c r="AV120" t="s">
        <v>62</v>
      </c>
      <c r="AW120" t="s">
        <v>3803</v>
      </c>
      <c r="AX120" t="s">
        <v>3804</v>
      </c>
      <c r="AY120" t="s">
        <v>184</v>
      </c>
      <c r="AZ120" t="s">
        <v>62</v>
      </c>
      <c r="BA120" t="s">
        <v>3803</v>
      </c>
      <c r="BC120" t="s">
        <v>3804</v>
      </c>
      <c r="BD120" t="s">
        <v>184</v>
      </c>
      <c r="BE120" t="s">
        <v>62</v>
      </c>
      <c r="BF120">
        <v>2</v>
      </c>
      <c r="BG120" s="24">
        <v>4</v>
      </c>
      <c r="BH120" s="24" t="s">
        <v>3803</v>
      </c>
      <c r="BI120" s="24" t="s">
        <v>3804</v>
      </c>
      <c r="BJ120" s="24" t="s">
        <v>4304</v>
      </c>
      <c r="BK120" s="24" t="s">
        <v>3800</v>
      </c>
      <c r="BL120" s="24" t="s">
        <v>183</v>
      </c>
      <c r="BM120" s="24" t="s">
        <v>188</v>
      </c>
      <c r="BN120" s="24" t="s">
        <v>3801</v>
      </c>
      <c r="BO120" s="24" t="s">
        <v>62</v>
      </c>
      <c r="BP120" s="4">
        <v>9183982728</v>
      </c>
      <c r="BQ120" s="25">
        <v>26127000</v>
      </c>
      <c r="BR120" s="24">
        <v>9</v>
      </c>
      <c r="BS120" s="24">
        <v>29</v>
      </c>
      <c r="BT120" s="4">
        <v>2004</v>
      </c>
      <c r="BU120" s="24" t="s">
        <v>163</v>
      </c>
      <c r="BV120" s="4" t="s">
        <v>4305</v>
      </c>
      <c r="BW120" s="4" t="s">
        <v>133</v>
      </c>
      <c r="BX120" s="24" t="s">
        <v>119</v>
      </c>
      <c r="BY120" s="4">
        <v>1382</v>
      </c>
      <c r="BZ120" s="4" t="s">
        <v>120</v>
      </c>
      <c r="CC120" s="4">
        <v>13820000</v>
      </c>
      <c r="CD120" s="4" t="s">
        <v>119</v>
      </c>
      <c r="CG120" s="24">
        <v>213112</v>
      </c>
      <c r="CH120" s="24" t="s">
        <v>74</v>
      </c>
      <c r="CI120" s="24"/>
      <c r="CJ120" s="24"/>
      <c r="CK120" s="19">
        <f>IF(BQ120&gt;0,BQ120,W120)</f>
        <v>26127000</v>
      </c>
      <c r="CL120" s="20">
        <f>IF(BS120&gt;0,BS120,Y120)</f>
        <v>29</v>
      </c>
      <c r="CM120" s="34">
        <f>IF(CG120&gt;0,CG120,AM120)</f>
        <v>213112</v>
      </c>
      <c r="CN120" s="80">
        <f>IF($BH120="",1,COUNTIF($BH$3:$BH120,$BH120))</f>
        <v>1</v>
      </c>
      <c r="CO120" s="33" t="s">
        <v>4386</v>
      </c>
      <c r="CP120" t="str">
        <f>IF($K120="Standard Match","Match",IF($K120="Name Only Match",IF($CO120="Yes","Match","Name Only Match"),"No Match"))</f>
        <v>Match</v>
      </c>
      <c r="CQ120" s="35" t="str">
        <f>IF(AND(CP120="Match",CK120&gt;0,CL120&gt;0),"Y","N")</f>
        <v>Y</v>
      </c>
      <c r="CR120" s="21"/>
      <c r="CS120" t="str">
        <f>IF($CQ120="Y",VLOOKUP($CM120,'SBA Size Standards'!$B$3:$G$57,MATCH('SBA Size Standards'!$G$3,'SBA Size Standards'!$B$3:$G$3,0),FALSE),"")</f>
        <v>Revenue</v>
      </c>
      <c r="CT120" s="60">
        <f>IF(CQ120="Y",IF($CS120="Employment","N/A",VLOOKUP($CM120,'SBA Size Standards'!$B$3:$G$57,MATCH('SBA Size Standards'!$E$3,'SBA Size Standards'!$B$3:$G$3,0),FALSE)),"")</f>
        <v>41500000</v>
      </c>
      <c r="CU120" s="86" t="str">
        <f>IF($CQ120="Y",IF($CS120="Revenue","N/A",VLOOKUP($CM120,'SBA Size Standards'!$B$3:$G$57,MATCH('SBA Size Standards'!$F$3,'SBA Size Standards'!$B$3:$G$3,0),FALSE)),"")</f>
        <v>N/A</v>
      </c>
      <c r="CV120" t="str">
        <f>IF($CQ120="Y",IF(OR(AND($CS120="Employment",$CL120&lt;$CU120),AND($CS120="Revenue",$CK120&lt;$CT120)),"YES","NO"),"")</f>
        <v>YES</v>
      </c>
      <c r="CW120" s="90" t="str">
        <f>IF($CQ120="Y",INDEX('SBA Size Standards'!$N$3:$N$12,MATCH($CK120,'SBA Size Standards'!$O$3:$O$12,1)),"")</f>
        <v>$5,000,001 - $100,000,000</v>
      </c>
      <c r="CX120" s="122" t="s">
        <v>4944</v>
      </c>
      <c r="CY120" s="122">
        <f>INDEX('NM O&amp;G Production'!$P$3:$P$537,MATCH(CX120,'NM O&amp;G Production'!$Q$3:$Q$537,0))</f>
        <v>63</v>
      </c>
      <c r="CZ120" s="122" t="str">
        <f>INDEX('NM O&amp;G Production'!$O$3:$O$537,MATCH(CY120,'NM O&amp;G Production'!$P$3:$P$537,0))</f>
        <v>Yes</v>
      </c>
      <c r="DA120" s="127">
        <f>INDEX('NM O&amp;G Production'!$K$3:$O$537,MATCH($CY120,'NM O&amp;G Production'!$P$3:$P$537,0),MATCH(DA$2,'NM O&amp;G Production'!$K$2:$O$2,0))</f>
        <v>0</v>
      </c>
      <c r="DB120" s="127">
        <f>INDEX('NM O&amp;G Production'!$K$3:$O$537,MATCH($CY120,'NM O&amp;G Production'!$P$3:$P$537,0),MATCH(DB$2,'NM O&amp;G Production'!$K$2:$O$2,0))</f>
        <v>12</v>
      </c>
      <c r="DC120" s="127">
        <f>DA120+DB120</f>
        <v>12</v>
      </c>
      <c r="DD120" s="127">
        <f>INDEX('NM O&amp;G Production'!$K$3:$O$537,MATCH($CY120,'NM O&amp;G Production'!$P$3:$P$537,0),MATCH(DD$2,'NM O&amp;G Production'!$K$2:$O$2,0))</f>
        <v>0</v>
      </c>
      <c r="DE120" s="127">
        <f>INDEX('NM O&amp;G Production'!$K$3:$O$537,MATCH($CY120,'NM O&amp;G Production'!$P$3:$P$537,0),MATCH(DE$2,'NM O&amp;G Production'!$K$2:$O$2,0))</f>
        <v>2643</v>
      </c>
      <c r="DF120" s="258">
        <f>CK120/(DB120+DA120)</f>
        <v>2177250</v>
      </c>
      <c r="DG120" s="57">
        <f>DD120*(12/18)*1.06*'Oil and Gas Prices'!$C$18</f>
        <v>0</v>
      </c>
      <c r="DH120" s="284">
        <f>DE120*(12/18)*'Oil and Gas Prices'!$C$4</f>
        <v>79290</v>
      </c>
      <c r="DI120" s="284">
        <f>DG120+DH120</f>
        <v>79290</v>
      </c>
      <c r="DJ120" s="57">
        <f>(DG120+DH120)/(DA120+DB120)</f>
        <v>6607.5</v>
      </c>
      <c r="DK120" s="318"/>
    </row>
    <row r="121" spans="1:115" x14ac:dyDescent="0.25">
      <c r="A121" t="s">
        <v>1624</v>
      </c>
      <c r="B121" t="s">
        <v>1625</v>
      </c>
      <c r="D121" t="s">
        <v>523</v>
      </c>
      <c r="E121" t="s">
        <v>80</v>
      </c>
      <c r="F121">
        <v>79768</v>
      </c>
      <c r="G121" t="s">
        <v>62</v>
      </c>
      <c r="I121">
        <v>220</v>
      </c>
      <c r="J121" t="s">
        <v>63</v>
      </c>
      <c r="K121" t="s">
        <v>4133</v>
      </c>
      <c r="L121" t="s">
        <v>419</v>
      </c>
      <c r="M121">
        <v>8</v>
      </c>
      <c r="N121" t="s">
        <v>1626</v>
      </c>
      <c r="O121" t="s">
        <v>1627</v>
      </c>
      <c r="P121" t="s">
        <v>1628</v>
      </c>
      <c r="Q121" t="s">
        <v>1629</v>
      </c>
      <c r="R121" t="s">
        <v>523</v>
      </c>
      <c r="S121" t="s">
        <v>94</v>
      </c>
      <c r="T121" t="s">
        <v>1630</v>
      </c>
      <c r="U121" t="s">
        <v>62</v>
      </c>
      <c r="V121">
        <v>2149531177</v>
      </c>
      <c r="X121">
        <v>12</v>
      </c>
      <c r="Y121">
        <v>0</v>
      </c>
      <c r="AA121" t="s">
        <v>96</v>
      </c>
      <c r="AB121" t="s">
        <v>1631</v>
      </c>
      <c r="AC121" t="s">
        <v>677</v>
      </c>
      <c r="AD121" t="s">
        <v>99</v>
      </c>
      <c r="AE121">
        <v>1311</v>
      </c>
      <c r="AF121" t="s">
        <v>100</v>
      </c>
      <c r="AI121">
        <v>13110101</v>
      </c>
      <c r="AJ121" t="s">
        <v>102</v>
      </c>
      <c r="AM121">
        <v>211120</v>
      </c>
      <c r="AN121" t="s">
        <v>104</v>
      </c>
      <c r="AQ121" t="s">
        <v>75</v>
      </c>
      <c r="AR121" t="s">
        <v>1632</v>
      </c>
      <c r="AS121" t="s">
        <v>1627</v>
      </c>
      <c r="AT121" t="s">
        <v>76</v>
      </c>
      <c r="AU121" t="s">
        <v>80</v>
      </c>
      <c r="AV121" t="s">
        <v>62</v>
      </c>
      <c r="AW121" t="s">
        <v>1632</v>
      </c>
      <c r="AX121" t="s">
        <v>1627</v>
      </c>
      <c r="AY121" t="s">
        <v>80</v>
      </c>
      <c r="AZ121" t="s">
        <v>62</v>
      </c>
      <c r="BB121" t="s">
        <v>1632</v>
      </c>
      <c r="BC121" t="s">
        <v>1627</v>
      </c>
      <c r="BD121" t="s">
        <v>80</v>
      </c>
      <c r="BE121" t="s">
        <v>62</v>
      </c>
      <c r="BF121">
        <v>1</v>
      </c>
      <c r="BG121">
        <v>6</v>
      </c>
      <c r="BH121" s="4" t="s">
        <v>1632</v>
      </c>
      <c r="BI121" s="4" t="s">
        <v>1627</v>
      </c>
      <c r="BJ121" s="4" t="s">
        <v>4281</v>
      </c>
      <c r="BK121" s="4" t="s">
        <v>4282</v>
      </c>
      <c r="BL121" s="4" t="s">
        <v>378</v>
      </c>
      <c r="BM121" s="4" t="s">
        <v>94</v>
      </c>
      <c r="BN121" s="4" t="s">
        <v>4283</v>
      </c>
      <c r="BO121" s="4" t="s">
        <v>62</v>
      </c>
      <c r="BP121" s="4">
        <v>2149531177</v>
      </c>
      <c r="BQ121" s="5">
        <v>25515969</v>
      </c>
      <c r="BR121" s="4">
        <v>23</v>
      </c>
      <c r="BS121" s="4">
        <v>66</v>
      </c>
      <c r="BT121" s="4">
        <v>1935</v>
      </c>
      <c r="BU121" s="4" t="s">
        <v>163</v>
      </c>
      <c r="BV121" s="4" t="s">
        <v>4284</v>
      </c>
      <c r="BW121" s="4" t="s">
        <v>242</v>
      </c>
      <c r="BX121" s="4" t="s">
        <v>99</v>
      </c>
      <c r="BY121" s="4">
        <v>1311</v>
      </c>
      <c r="BZ121" s="4" t="s">
        <v>100</v>
      </c>
      <c r="CA121" s="4">
        <v>212</v>
      </c>
      <c r="CB121" s="4" t="s">
        <v>1619</v>
      </c>
      <c r="CC121" s="4">
        <v>13110101</v>
      </c>
      <c r="CD121" s="4" t="s">
        <v>102</v>
      </c>
      <c r="CE121" s="4">
        <v>2120000</v>
      </c>
      <c r="CF121" s="4" t="s">
        <v>1620</v>
      </c>
      <c r="CG121" s="4">
        <v>211120</v>
      </c>
      <c r="CH121" s="4" t="s">
        <v>104</v>
      </c>
      <c r="CI121" s="4">
        <v>112111</v>
      </c>
      <c r="CJ121" s="4" t="s">
        <v>1621</v>
      </c>
      <c r="CK121" s="19">
        <f>IF(BQ121&gt;0,BQ121,W121)</f>
        <v>25515969</v>
      </c>
      <c r="CL121" s="20">
        <f>IF(BS121&gt;0,BS121,Y121)</f>
        <v>66</v>
      </c>
      <c r="CM121" s="34">
        <f>IF(CG121&gt;0,CG121,AM121)</f>
        <v>211120</v>
      </c>
      <c r="CN121" s="80">
        <f>IF($BH121="",1,COUNTIF($BH$3:$BH121,$BH121))</f>
        <v>1</v>
      </c>
      <c r="CP121" t="str">
        <f>IF($K121="Standard Match","Match",IF($K121="Name Only Match",IF($CO121="Yes","Match","Name Only Match"),"No Match"))</f>
        <v>Match</v>
      </c>
      <c r="CQ121" s="35" t="str">
        <f>IF(AND(CP121="Match",CK121&gt;0,CL121&gt;0),"Y","N")</f>
        <v>Y</v>
      </c>
      <c r="CS121" t="str">
        <f>IF($CQ121="Y",VLOOKUP($CM121,'SBA Size Standards'!$B$3:$G$57,MATCH('SBA Size Standards'!$G$3,'SBA Size Standards'!$B$3:$G$3,0),FALSE),"")</f>
        <v>Employment</v>
      </c>
      <c r="CT121" s="60" t="str">
        <f>IF(CQ121="Y",IF($CS121="Employment","N/A",VLOOKUP($CM121,'SBA Size Standards'!$B$3:$G$57,MATCH('SBA Size Standards'!$E$3,'SBA Size Standards'!$B$3:$G$3,0),FALSE)),"")</f>
        <v>N/A</v>
      </c>
      <c r="CU121" s="86">
        <f>IF($CQ121="Y",IF($CS121="Revenue","N/A",VLOOKUP($CM121,'SBA Size Standards'!$B$3:$G$57,MATCH('SBA Size Standards'!$F$3,'SBA Size Standards'!$B$3:$G$3,0),FALSE)),"")</f>
        <v>1250</v>
      </c>
      <c r="CV121" t="str">
        <f>IF($CQ121="Y",IF(OR(AND($CS121="Employment",$CL121&lt;$CU121),AND($CS121="Revenue",$CK121&lt;$CT121)),"YES","NO"),"")</f>
        <v>YES</v>
      </c>
      <c r="CW121" s="90" t="str">
        <f>IF($CQ121="Y",INDEX('SBA Size Standards'!$N$3:$N$12,MATCH($CK121,'SBA Size Standards'!$O$3:$O$12,1)),"")</f>
        <v>$5,000,001 - $100,000,000</v>
      </c>
      <c r="CX121" s="122" t="s">
        <v>4852</v>
      </c>
      <c r="CY121" s="122">
        <f>INDEX('NM O&amp;G Production'!$P$3:$P$537,MATCH(CX121,'NM O&amp;G Production'!$Q$3:$Q$537,0))</f>
        <v>220</v>
      </c>
      <c r="CZ121" s="122" t="str">
        <f>INDEX('NM O&amp;G Production'!$O$3:$O$537,MATCH(CY121,'NM O&amp;G Production'!$P$3:$P$537,0))</f>
        <v>No</v>
      </c>
      <c r="DA121" s="127">
        <f>INDEX('NM O&amp;G Production'!$K$3:$O$537,MATCH($CY121,'NM O&amp;G Production'!$P$3:$P$537,0),MATCH(DA$2,'NM O&amp;G Production'!$K$2:$O$2,0))</f>
        <v>0</v>
      </c>
      <c r="DB121" s="127">
        <f>INDEX('NM O&amp;G Production'!$K$3:$O$537,MATCH($CY121,'NM O&amp;G Production'!$P$3:$P$537,0),MATCH(DB$2,'NM O&amp;G Production'!$K$2:$O$2,0))</f>
        <v>0</v>
      </c>
      <c r="DC121" s="127"/>
      <c r="DD121" s="127">
        <f>INDEX('NM O&amp;G Production'!$K$3:$O$537,MATCH($CY121,'NM O&amp;G Production'!$P$3:$P$537,0),MATCH(DD$2,'NM O&amp;G Production'!$K$2:$O$2,0))</f>
        <v>0</v>
      </c>
      <c r="DE121" s="127">
        <f>INDEX('NM O&amp;G Production'!$K$3:$O$537,MATCH($CY121,'NM O&amp;G Production'!$P$3:$P$537,0),MATCH(DE$2,'NM O&amp;G Production'!$K$2:$O$2,0))</f>
        <v>0</v>
      </c>
      <c r="DF121" s="258" t="e">
        <f>CK121/(DB121+DA121)</f>
        <v>#DIV/0!</v>
      </c>
      <c r="DG121" s="57">
        <f>DD121*(12/18)*1.06*'Oil and Gas Prices'!$C$18</f>
        <v>0</v>
      </c>
      <c r="DH121" s="284">
        <f>DE121*(12/18)*'Oil and Gas Prices'!$C$4</f>
        <v>0</v>
      </c>
      <c r="DI121" s="284"/>
      <c r="DJ121" s="57" t="e">
        <f>(DG121+DH121)/(DA121+DB121)</f>
        <v>#DIV/0!</v>
      </c>
      <c r="DK121" s="18" t="e">
        <f>CK121/DI121</f>
        <v>#DIV/0!</v>
      </c>
    </row>
    <row r="122" spans="1:115" x14ac:dyDescent="0.25">
      <c r="A122" t="s">
        <v>2670</v>
      </c>
      <c r="B122" t="s">
        <v>2671</v>
      </c>
      <c r="D122" t="s">
        <v>153</v>
      </c>
      <c r="E122" t="s">
        <v>80</v>
      </c>
      <c r="F122">
        <v>79701</v>
      </c>
      <c r="G122" t="s">
        <v>62</v>
      </c>
      <c r="I122">
        <v>386</v>
      </c>
      <c r="J122" t="s">
        <v>63</v>
      </c>
      <c r="K122" t="s">
        <v>4133</v>
      </c>
      <c r="L122" t="s">
        <v>64</v>
      </c>
      <c r="M122">
        <v>10</v>
      </c>
      <c r="N122" t="s">
        <v>2672</v>
      </c>
      <c r="O122" t="s">
        <v>2673</v>
      </c>
      <c r="Q122" t="s">
        <v>2674</v>
      </c>
      <c r="R122" t="s">
        <v>153</v>
      </c>
      <c r="S122" t="s">
        <v>94</v>
      </c>
      <c r="T122" t="s">
        <v>2675</v>
      </c>
      <c r="U122" t="s">
        <v>62</v>
      </c>
      <c r="V122">
        <v>4326834816</v>
      </c>
      <c r="W122" s="1">
        <v>24394232</v>
      </c>
      <c r="X122">
        <v>25</v>
      </c>
      <c r="Y122">
        <v>25</v>
      </c>
      <c r="Z122">
        <v>1988</v>
      </c>
      <c r="AA122" t="s">
        <v>163</v>
      </c>
      <c r="AB122" t="s">
        <v>2676</v>
      </c>
      <c r="AC122" t="s">
        <v>165</v>
      </c>
      <c r="AD122" t="s">
        <v>99</v>
      </c>
      <c r="AE122">
        <v>1311</v>
      </c>
      <c r="AF122" t="s">
        <v>100</v>
      </c>
      <c r="AI122">
        <v>13110101</v>
      </c>
      <c r="AJ122" t="s">
        <v>102</v>
      </c>
      <c r="AM122">
        <v>211120</v>
      </c>
      <c r="AN122" t="s">
        <v>104</v>
      </c>
      <c r="AQ122" t="s">
        <v>75</v>
      </c>
      <c r="AR122" t="s">
        <v>2672</v>
      </c>
      <c r="AS122" t="s">
        <v>2673</v>
      </c>
      <c r="AT122" t="s">
        <v>427</v>
      </c>
      <c r="AU122" t="s">
        <v>80</v>
      </c>
      <c r="AV122" t="s">
        <v>62</v>
      </c>
      <c r="AW122" t="s">
        <v>2672</v>
      </c>
      <c r="AX122" t="s">
        <v>2673</v>
      </c>
      <c r="AY122" t="s">
        <v>80</v>
      </c>
      <c r="AZ122" t="s">
        <v>62</v>
      </c>
      <c r="BE122" t="s">
        <v>62</v>
      </c>
      <c r="BF122">
        <v>1</v>
      </c>
      <c r="BG122">
        <v>3</v>
      </c>
      <c r="BH122" s="4" t="s">
        <v>2672</v>
      </c>
      <c r="BI122" s="4" t="s">
        <v>2673</v>
      </c>
      <c r="BK122" s="4" t="s">
        <v>2674</v>
      </c>
      <c r="BL122" s="4" t="s">
        <v>153</v>
      </c>
      <c r="BM122" s="4" t="s">
        <v>94</v>
      </c>
      <c r="BN122" s="4" t="s">
        <v>2675</v>
      </c>
      <c r="BO122" s="4" t="s">
        <v>62</v>
      </c>
      <c r="BP122" s="4">
        <v>4326834816</v>
      </c>
      <c r="BQ122" s="5">
        <v>24394232</v>
      </c>
      <c r="BR122" s="4">
        <v>25</v>
      </c>
      <c r="BS122" s="4">
        <v>25</v>
      </c>
      <c r="BT122" s="4">
        <v>1988</v>
      </c>
      <c r="BU122" s="4" t="s">
        <v>163</v>
      </c>
      <c r="BV122" s="4" t="s">
        <v>2676</v>
      </c>
      <c r="BW122" s="4" t="s">
        <v>165</v>
      </c>
      <c r="BX122" s="4" t="s">
        <v>99</v>
      </c>
      <c r="BY122" s="4">
        <v>1311</v>
      </c>
      <c r="BZ122" s="4" t="s">
        <v>100</v>
      </c>
      <c r="CC122" s="4">
        <v>13110101</v>
      </c>
      <c r="CD122" s="4" t="s">
        <v>102</v>
      </c>
      <c r="CG122" s="4">
        <v>211120</v>
      </c>
      <c r="CH122" s="4" t="s">
        <v>104</v>
      </c>
      <c r="CK122" s="19">
        <f>IF(BQ122&gt;0,BQ122,W122)</f>
        <v>24394232</v>
      </c>
      <c r="CL122" s="20">
        <f>IF(BS122&gt;0,BS122,Y122)</f>
        <v>25</v>
      </c>
      <c r="CM122" s="34">
        <f>IF(CG122&gt;0,CG122,AM122)</f>
        <v>211120</v>
      </c>
      <c r="CN122" s="80">
        <f>IF($BH122="",1,COUNTIF($BH$3:$BH122,$BH122))</f>
        <v>1</v>
      </c>
      <c r="CP122" t="str">
        <f>IF($K122="Standard Match","Match",IF($K122="Name Only Match",IF($CO122="Yes","Match","Name Only Match"),"No Match"))</f>
        <v>Match</v>
      </c>
      <c r="CQ122" s="35" t="str">
        <f>IF(AND(CP122="Match",CK122&gt;0,CL122&gt;0),"Y","N")</f>
        <v>Y</v>
      </c>
      <c r="CS122" t="str">
        <f>IF($CQ122="Y",VLOOKUP($CM122,'SBA Size Standards'!$B$3:$G$57,MATCH('SBA Size Standards'!$G$3,'SBA Size Standards'!$B$3:$G$3,0),FALSE),"")</f>
        <v>Employment</v>
      </c>
      <c r="CT122" s="60" t="str">
        <f>IF(CQ122="Y",IF($CS122="Employment","N/A",VLOOKUP($CM122,'SBA Size Standards'!$B$3:$G$57,MATCH('SBA Size Standards'!$E$3,'SBA Size Standards'!$B$3:$G$3,0),FALSE)),"")</f>
        <v>N/A</v>
      </c>
      <c r="CU122" s="86">
        <f>IF($CQ122="Y",IF($CS122="Revenue","N/A",VLOOKUP($CM122,'SBA Size Standards'!$B$3:$G$57,MATCH('SBA Size Standards'!$F$3,'SBA Size Standards'!$B$3:$G$3,0),FALSE)),"")</f>
        <v>1250</v>
      </c>
      <c r="CV122" t="str">
        <f>IF($CQ122="Y",IF(OR(AND($CS122="Employment",$CL122&lt;$CU122),AND($CS122="Revenue",$CK122&lt;$CT122)),"YES","NO"),"")</f>
        <v>YES</v>
      </c>
      <c r="CW122" s="90" t="str">
        <f>IF($CQ122="Y",INDEX('SBA Size Standards'!$N$3:$N$12,MATCH($CK122,'SBA Size Standards'!$O$3:$O$12,1)),"")</f>
        <v>$5,000,001 - $100,000,000</v>
      </c>
      <c r="CX122" s="122" t="s">
        <v>4716</v>
      </c>
      <c r="CY122" s="122">
        <f>INDEX('NM O&amp;G Production'!$P$3:$P$537,MATCH(CX122,'NM O&amp;G Production'!$Q$3:$Q$537,0))</f>
        <v>386</v>
      </c>
      <c r="CZ122" s="122" t="str">
        <f>INDEX('NM O&amp;G Production'!$O$3:$O$537,MATCH(CY122,'NM O&amp;G Production'!$P$3:$P$537,0))</f>
        <v>Yes</v>
      </c>
      <c r="DA122" s="127">
        <f>INDEX('NM O&amp;G Production'!$K$3:$O$537,MATCH($CY122,'NM O&amp;G Production'!$P$3:$P$537,0),MATCH(DA$2,'NM O&amp;G Production'!$K$2:$O$2,0))</f>
        <v>0</v>
      </c>
      <c r="DB122" s="127">
        <f>INDEX('NM O&amp;G Production'!$K$3:$O$537,MATCH($CY122,'NM O&amp;G Production'!$P$3:$P$537,0),MATCH(DB$2,'NM O&amp;G Production'!$K$2:$O$2,0))</f>
        <v>2</v>
      </c>
      <c r="DC122" s="127">
        <f>DA122+DB122</f>
        <v>2</v>
      </c>
      <c r="DD122" s="127">
        <f>INDEX('NM O&amp;G Production'!$K$3:$O$537,MATCH($CY122,'NM O&amp;G Production'!$P$3:$P$537,0),MATCH(DD$2,'NM O&amp;G Production'!$K$2:$O$2,0))</f>
        <v>0</v>
      </c>
      <c r="DE122" s="127">
        <f>INDEX('NM O&amp;G Production'!$K$3:$O$537,MATCH($CY122,'NM O&amp;G Production'!$P$3:$P$537,0),MATCH(DE$2,'NM O&amp;G Production'!$K$2:$O$2,0))</f>
        <v>2020</v>
      </c>
      <c r="DF122" s="258">
        <f>CK122/(DB122+DA122)</f>
        <v>12197116</v>
      </c>
      <c r="DG122" s="57">
        <f>DD122*(12/18)*1.06*'Oil and Gas Prices'!$C$18</f>
        <v>0</v>
      </c>
      <c r="DH122" s="284">
        <f>DE122*(12/18)*'Oil and Gas Prices'!$C$4</f>
        <v>60599.999999999993</v>
      </c>
      <c r="DI122" s="284">
        <f>DG122+DH122</f>
        <v>60599.999999999993</v>
      </c>
      <c r="DJ122" s="57">
        <f>(DG122+DH122)/(DA122+DB122)</f>
        <v>30299.999999999996</v>
      </c>
      <c r="DK122" s="318"/>
    </row>
    <row r="123" spans="1:115" x14ac:dyDescent="0.25">
      <c r="A123" t="s">
        <v>1330</v>
      </c>
      <c r="B123" t="s">
        <v>1331</v>
      </c>
      <c r="D123" t="s">
        <v>1332</v>
      </c>
      <c r="E123" t="s">
        <v>80</v>
      </c>
      <c r="F123">
        <v>75001</v>
      </c>
      <c r="G123" t="s">
        <v>62</v>
      </c>
      <c r="I123">
        <v>175</v>
      </c>
      <c r="J123" t="s">
        <v>63</v>
      </c>
      <c r="K123" t="s">
        <v>4133</v>
      </c>
      <c r="L123" t="s">
        <v>64</v>
      </c>
      <c r="M123">
        <v>10</v>
      </c>
      <c r="N123" t="s">
        <v>1333</v>
      </c>
      <c r="O123" t="s">
        <v>1334</v>
      </c>
      <c r="Q123" t="s">
        <v>1335</v>
      </c>
      <c r="R123" t="s">
        <v>1336</v>
      </c>
      <c r="S123" t="s">
        <v>94</v>
      </c>
      <c r="T123" t="s">
        <v>1337</v>
      </c>
      <c r="U123" t="s">
        <v>62</v>
      </c>
      <c r="V123">
        <v>9727072500</v>
      </c>
      <c r="W123" s="1">
        <v>24374591</v>
      </c>
      <c r="X123">
        <v>45</v>
      </c>
      <c r="Y123">
        <v>45</v>
      </c>
      <c r="Z123">
        <v>2005</v>
      </c>
      <c r="AA123" t="s">
        <v>163</v>
      </c>
      <c r="AB123" t="s">
        <v>1338</v>
      </c>
      <c r="AC123" t="s">
        <v>145</v>
      </c>
      <c r="AD123" t="s">
        <v>119</v>
      </c>
      <c r="AE123">
        <v>1382</v>
      </c>
      <c r="AF123" t="s">
        <v>120</v>
      </c>
      <c r="AI123">
        <v>13820000</v>
      </c>
      <c r="AJ123" t="s">
        <v>119</v>
      </c>
      <c r="AM123">
        <v>213112</v>
      </c>
      <c r="AN123" t="s">
        <v>74</v>
      </c>
      <c r="AQ123" t="s">
        <v>75</v>
      </c>
      <c r="AR123" t="s">
        <v>1333</v>
      </c>
      <c r="AS123" t="s">
        <v>1334</v>
      </c>
      <c r="AT123" t="s">
        <v>427</v>
      </c>
      <c r="AU123" t="s">
        <v>80</v>
      </c>
      <c r="AV123" t="s">
        <v>62</v>
      </c>
      <c r="AW123" t="s">
        <v>1333</v>
      </c>
      <c r="AX123" t="s">
        <v>1334</v>
      </c>
      <c r="AY123" t="s">
        <v>80</v>
      </c>
      <c r="AZ123" t="s">
        <v>62</v>
      </c>
      <c r="BE123" t="s">
        <v>62</v>
      </c>
      <c r="BF123">
        <v>1</v>
      </c>
      <c r="BG123">
        <v>3</v>
      </c>
      <c r="BH123" s="4" t="s">
        <v>1333</v>
      </c>
      <c r="BI123" s="4" t="s">
        <v>1334</v>
      </c>
      <c r="BK123" s="4" t="s">
        <v>1335</v>
      </c>
      <c r="BL123" s="4" t="s">
        <v>1336</v>
      </c>
      <c r="BM123" s="4" t="s">
        <v>94</v>
      </c>
      <c r="BN123" s="4" t="s">
        <v>1337</v>
      </c>
      <c r="BO123" s="4" t="s">
        <v>62</v>
      </c>
      <c r="BP123" s="4">
        <v>9727072500</v>
      </c>
      <c r="BQ123" s="5">
        <v>24374591</v>
      </c>
      <c r="BR123" s="4">
        <v>45</v>
      </c>
      <c r="BS123" s="4">
        <v>45</v>
      </c>
      <c r="BT123" s="4">
        <v>2005</v>
      </c>
      <c r="BU123" s="4" t="s">
        <v>163</v>
      </c>
      <c r="BV123" s="4" t="s">
        <v>1338</v>
      </c>
      <c r="BW123" s="4" t="s">
        <v>145</v>
      </c>
      <c r="BX123" s="4" t="s">
        <v>119</v>
      </c>
      <c r="BY123" s="4">
        <v>1382</v>
      </c>
      <c r="BZ123" s="4" t="s">
        <v>120</v>
      </c>
      <c r="CC123" s="4">
        <v>13820000</v>
      </c>
      <c r="CD123" s="4" t="s">
        <v>119</v>
      </c>
      <c r="CG123" s="4">
        <v>213112</v>
      </c>
      <c r="CH123" s="4" t="s">
        <v>74</v>
      </c>
      <c r="CK123" s="19">
        <f>IF(BQ123&gt;0,BQ123,W123)</f>
        <v>24374591</v>
      </c>
      <c r="CL123" s="20">
        <f>IF(BS123&gt;0,BS123,Y123)</f>
        <v>45</v>
      </c>
      <c r="CM123" s="34">
        <f>IF(CG123&gt;0,CG123,AM123)</f>
        <v>213112</v>
      </c>
      <c r="CN123" s="80">
        <f>IF($BH123="",1,COUNTIF($BH$3:$BH123,$BH123))</f>
        <v>1</v>
      </c>
      <c r="CP123" t="str">
        <f>IF($K123="Standard Match","Match",IF($K123="Name Only Match",IF($CO123="Yes","Match","Name Only Match"),"No Match"))</f>
        <v>Match</v>
      </c>
      <c r="CQ123" s="35" t="str">
        <f>IF(AND(CP123="Match",CK123&gt;0,CL123&gt;0),"Y","N")</f>
        <v>Y</v>
      </c>
      <c r="CS123" t="str">
        <f>IF($CQ123="Y",VLOOKUP($CM123,'SBA Size Standards'!$B$3:$G$57,MATCH('SBA Size Standards'!$G$3,'SBA Size Standards'!$B$3:$G$3,0),FALSE),"")</f>
        <v>Revenue</v>
      </c>
      <c r="CT123" s="60">
        <f>IF(CQ123="Y",IF($CS123="Employment","N/A",VLOOKUP($CM123,'SBA Size Standards'!$B$3:$G$57,MATCH('SBA Size Standards'!$E$3,'SBA Size Standards'!$B$3:$G$3,0),FALSE)),"")</f>
        <v>41500000</v>
      </c>
      <c r="CU123" s="86" t="str">
        <f>IF($CQ123="Y",IF($CS123="Revenue","N/A",VLOOKUP($CM123,'SBA Size Standards'!$B$3:$G$57,MATCH('SBA Size Standards'!$F$3,'SBA Size Standards'!$B$3:$G$3,0),FALSE)),"")</f>
        <v>N/A</v>
      </c>
      <c r="CV123" t="str">
        <f>IF($CQ123="Y",IF(OR(AND($CS123="Employment",$CL123&lt;$CU123),AND($CS123="Revenue",$CK123&lt;$CT123)),"YES","NO"),"")</f>
        <v>YES</v>
      </c>
      <c r="CW123" s="90" t="str">
        <f>IF($CQ123="Y",INDEX('SBA Size Standards'!$N$3:$N$12,MATCH($CK123,'SBA Size Standards'!$O$3:$O$12,1)),"")</f>
        <v>$5,000,001 - $100,000,000</v>
      </c>
      <c r="CX123" s="122" t="s">
        <v>4613</v>
      </c>
      <c r="CY123" s="122">
        <f>INDEX('NM O&amp;G Production'!$P$3:$P$537,MATCH(CX123,'NM O&amp;G Production'!$Q$3:$Q$537,0))</f>
        <v>175</v>
      </c>
      <c r="CZ123" s="122" t="str">
        <f>INDEX('NM O&amp;G Production'!$O$3:$O$537,MATCH(CY123,'NM O&amp;G Production'!$P$3:$P$537,0))</f>
        <v>Yes</v>
      </c>
      <c r="DA123" s="127">
        <f>INDEX('NM O&amp;G Production'!$K$3:$O$537,MATCH($CY123,'NM O&amp;G Production'!$P$3:$P$537,0),MATCH(DA$2,'NM O&amp;G Production'!$K$2:$O$2,0))</f>
        <v>4</v>
      </c>
      <c r="DB123" s="127">
        <f>INDEX('NM O&amp;G Production'!$K$3:$O$537,MATCH($CY123,'NM O&amp;G Production'!$P$3:$P$537,0),MATCH(DB$2,'NM O&amp;G Production'!$K$2:$O$2,0))</f>
        <v>26</v>
      </c>
      <c r="DC123" s="127">
        <f>DA123+DB123</f>
        <v>30</v>
      </c>
      <c r="DD123" s="127">
        <f>INDEX('NM O&amp;G Production'!$K$3:$O$537,MATCH($CY123,'NM O&amp;G Production'!$P$3:$P$537,0),MATCH(DD$2,'NM O&amp;G Production'!$K$2:$O$2,0))</f>
        <v>247602</v>
      </c>
      <c r="DE123" s="127">
        <f>INDEX('NM O&amp;G Production'!$K$3:$O$537,MATCH($CY123,'NM O&amp;G Production'!$P$3:$P$537,0),MATCH(DE$2,'NM O&amp;G Production'!$K$2:$O$2,0))</f>
        <v>56043</v>
      </c>
      <c r="DF123" s="258">
        <f>CK123/(DB123+DA123)</f>
        <v>812486.3666666667</v>
      </c>
      <c r="DG123" s="57">
        <f>DD123*(12/18)*1.06*'Oil and Gas Prices'!$C$18</f>
        <v>418183.27120000008</v>
      </c>
      <c r="DH123" s="284">
        <f>DE123*(12/18)*'Oil and Gas Prices'!$C$4</f>
        <v>1681290</v>
      </c>
      <c r="DI123" s="284">
        <f>DG123+DH123</f>
        <v>2099473.2712000003</v>
      </c>
      <c r="DJ123" s="57">
        <f>(DG123+DH123)/(DA123+DB123)</f>
        <v>69982.442373333339</v>
      </c>
      <c r="DK123" s="319"/>
    </row>
    <row r="124" spans="1:115" x14ac:dyDescent="0.25">
      <c r="A124" t="s">
        <v>847</v>
      </c>
      <c r="B124" t="s">
        <v>848</v>
      </c>
      <c r="C124" t="s">
        <v>849</v>
      </c>
      <c r="D124" t="s">
        <v>850</v>
      </c>
      <c r="E124" t="s">
        <v>851</v>
      </c>
      <c r="F124">
        <v>37129</v>
      </c>
      <c r="G124" t="s">
        <v>62</v>
      </c>
      <c r="I124">
        <v>108</v>
      </c>
      <c r="J124" t="s">
        <v>63</v>
      </c>
      <c r="K124" t="s">
        <v>4133</v>
      </c>
      <c r="L124" t="s">
        <v>113</v>
      </c>
      <c r="M124">
        <v>8</v>
      </c>
      <c r="N124" t="s">
        <v>852</v>
      </c>
      <c r="O124" t="s">
        <v>853</v>
      </c>
      <c r="Q124" t="s">
        <v>848</v>
      </c>
      <c r="R124" t="s">
        <v>850</v>
      </c>
      <c r="S124" t="s">
        <v>854</v>
      </c>
      <c r="T124" t="s">
        <v>855</v>
      </c>
      <c r="U124" t="s">
        <v>62</v>
      </c>
      <c r="V124">
        <v>6158934801</v>
      </c>
      <c r="W124" s="1">
        <v>23546301</v>
      </c>
      <c r="X124">
        <v>7</v>
      </c>
      <c r="Y124">
        <v>28</v>
      </c>
      <c r="Z124">
        <v>1994</v>
      </c>
      <c r="AA124" t="s">
        <v>163</v>
      </c>
      <c r="AB124" t="s">
        <v>856</v>
      </c>
      <c r="AC124" t="s">
        <v>98</v>
      </c>
      <c r="AD124" t="s">
        <v>857</v>
      </c>
      <c r="AE124">
        <v>5171</v>
      </c>
      <c r="AF124" t="s">
        <v>858</v>
      </c>
      <c r="AI124">
        <v>51719901</v>
      </c>
      <c r="AJ124" t="s">
        <v>859</v>
      </c>
      <c r="AM124">
        <v>424710</v>
      </c>
      <c r="AN124" t="s">
        <v>858</v>
      </c>
      <c r="AQ124" t="s">
        <v>75</v>
      </c>
      <c r="AR124" t="s">
        <v>852</v>
      </c>
      <c r="AS124" t="s">
        <v>853</v>
      </c>
      <c r="AT124" t="s">
        <v>427</v>
      </c>
      <c r="AU124" t="s">
        <v>851</v>
      </c>
      <c r="AV124" t="s">
        <v>62</v>
      </c>
      <c r="AW124" t="s">
        <v>852</v>
      </c>
      <c r="AX124" t="s">
        <v>853</v>
      </c>
      <c r="AY124" t="s">
        <v>851</v>
      </c>
      <c r="AZ124" t="s">
        <v>62</v>
      </c>
      <c r="BE124" t="s">
        <v>62</v>
      </c>
      <c r="BF124">
        <v>1</v>
      </c>
      <c r="BG124">
        <v>2</v>
      </c>
      <c r="BH124" s="4" t="s">
        <v>852</v>
      </c>
      <c r="BI124" s="4" t="s">
        <v>853</v>
      </c>
      <c r="BK124" s="4" t="s">
        <v>848</v>
      </c>
      <c r="BL124" s="4" t="s">
        <v>850</v>
      </c>
      <c r="BM124" s="4" t="s">
        <v>854</v>
      </c>
      <c r="BN124" s="4" t="s">
        <v>855</v>
      </c>
      <c r="BO124" s="4" t="s">
        <v>62</v>
      </c>
      <c r="BP124" s="4">
        <v>6158934801</v>
      </c>
      <c r="BQ124" s="5">
        <v>23546301</v>
      </c>
      <c r="BR124" s="4">
        <v>7</v>
      </c>
      <c r="BS124" s="4">
        <v>28</v>
      </c>
      <c r="BT124" s="4">
        <v>1994</v>
      </c>
      <c r="BU124" s="4" t="s">
        <v>163</v>
      </c>
      <c r="BV124" s="4" t="s">
        <v>856</v>
      </c>
      <c r="BW124" s="4" t="s">
        <v>98</v>
      </c>
      <c r="BX124" s="4" t="s">
        <v>857</v>
      </c>
      <c r="BY124" s="4">
        <v>5171</v>
      </c>
      <c r="BZ124" s="4" t="s">
        <v>858</v>
      </c>
      <c r="CC124" s="4">
        <v>51719901</v>
      </c>
      <c r="CD124" s="4" t="s">
        <v>859</v>
      </c>
      <c r="CG124" s="4">
        <v>424710</v>
      </c>
      <c r="CH124" s="4" t="s">
        <v>858</v>
      </c>
      <c r="CK124" s="19">
        <f>IF(BQ124&gt;0,BQ124,W124)</f>
        <v>23546301</v>
      </c>
      <c r="CL124" s="20">
        <f>IF(BS124&gt;0,BS124,Y124)</f>
        <v>28</v>
      </c>
      <c r="CM124" s="34">
        <f>IF(CG124&gt;0,CG124,AM124)</f>
        <v>424710</v>
      </c>
      <c r="CN124" s="80">
        <f>IF($BH124="",1,COUNTIF($BH$3:$BH124,$BH124))</f>
        <v>1</v>
      </c>
      <c r="CP124" t="str">
        <f>IF($K124="Standard Match","Match",IF($K124="Name Only Match",IF($CO124="Yes","Match","Name Only Match"),"No Match"))</f>
        <v>Match</v>
      </c>
      <c r="CQ124" s="35" t="str">
        <f>IF(AND(CP124="Match",CK124&gt;0,CL124&gt;0),"Y","N")</f>
        <v>Y</v>
      </c>
      <c r="CS124" t="str">
        <f>IF($CQ124="Y",VLOOKUP($CM124,'SBA Size Standards'!$B$3:$G$57,MATCH('SBA Size Standards'!$G$3,'SBA Size Standards'!$B$3:$G$3,0),FALSE),"")</f>
        <v>Employment</v>
      </c>
      <c r="CT124" s="60" t="str">
        <f>IF(CQ124="Y",IF($CS124="Employment","N/A",VLOOKUP($CM124,'SBA Size Standards'!$B$3:$G$57,MATCH('SBA Size Standards'!$E$3,'SBA Size Standards'!$B$3:$G$3,0),FALSE)),"")</f>
        <v>N/A</v>
      </c>
      <c r="CU124" s="86">
        <f>IF($CQ124="Y",IF($CS124="Revenue","N/A",VLOOKUP($CM124,'SBA Size Standards'!$B$3:$G$57,MATCH('SBA Size Standards'!$F$3,'SBA Size Standards'!$B$3:$G$3,0),FALSE)),"")</f>
        <v>200</v>
      </c>
      <c r="CV124" t="str">
        <f>IF($CQ124="Y",IF(OR(AND($CS124="Employment",$CL124&lt;$CU124),AND($CS124="Revenue",$CK124&lt;$CT124)),"YES","NO"),"")</f>
        <v>YES</v>
      </c>
      <c r="CW124" s="90" t="str">
        <f>IF($CQ124="Y",INDEX('SBA Size Standards'!$N$3:$N$12,MATCH($CK124,'SBA Size Standards'!$O$3:$O$12,1)),"")</f>
        <v>$5,000,001 - $100,000,000</v>
      </c>
      <c r="CX124" s="122" t="s">
        <v>4826</v>
      </c>
      <c r="CY124" s="122">
        <f>INDEX('NM O&amp;G Production'!$P$3:$P$537,MATCH(CX124,'NM O&amp;G Production'!$Q$3:$Q$537,0))</f>
        <v>108</v>
      </c>
      <c r="CZ124" s="122" t="str">
        <f>INDEX('NM O&amp;G Production'!$O$3:$O$537,MATCH(CY124,'NM O&amp;G Production'!$P$3:$P$537,0))</f>
        <v>No</v>
      </c>
      <c r="DA124" s="127">
        <f>INDEX('NM O&amp;G Production'!$K$3:$O$537,MATCH($CY124,'NM O&amp;G Production'!$P$3:$P$537,0),MATCH(DA$2,'NM O&amp;G Production'!$K$2:$O$2,0))</f>
        <v>0</v>
      </c>
      <c r="DB124" s="127">
        <f>INDEX('NM O&amp;G Production'!$K$3:$O$537,MATCH($CY124,'NM O&amp;G Production'!$P$3:$P$537,0),MATCH(DB$2,'NM O&amp;G Production'!$K$2:$O$2,0))</f>
        <v>0</v>
      </c>
      <c r="DC124" s="127"/>
      <c r="DD124" s="127">
        <f>INDEX('NM O&amp;G Production'!$K$3:$O$537,MATCH($CY124,'NM O&amp;G Production'!$P$3:$P$537,0),MATCH(DD$2,'NM O&amp;G Production'!$K$2:$O$2,0))</f>
        <v>0</v>
      </c>
      <c r="DE124" s="127">
        <f>INDEX('NM O&amp;G Production'!$K$3:$O$537,MATCH($CY124,'NM O&amp;G Production'!$P$3:$P$537,0),MATCH(DE$2,'NM O&amp;G Production'!$K$2:$O$2,0))</f>
        <v>0</v>
      </c>
      <c r="DF124" s="258" t="e">
        <f>CK124/(DB124+DA124)</f>
        <v>#DIV/0!</v>
      </c>
      <c r="DG124" s="57">
        <f>DD124*(12/18)*1.06*'Oil and Gas Prices'!$C$18</f>
        <v>0</v>
      </c>
      <c r="DH124" s="284">
        <f>DE124*(12/18)*'Oil and Gas Prices'!$C$4</f>
        <v>0</v>
      </c>
      <c r="DI124" s="284"/>
      <c r="DJ124" s="57" t="e">
        <f>(DG124+DH124)/(DA124+DB124)</f>
        <v>#DIV/0!</v>
      </c>
      <c r="DK124" s="18" t="e">
        <f>CK124/DI124</f>
        <v>#DIV/0!</v>
      </c>
    </row>
    <row r="125" spans="1:115" x14ac:dyDescent="0.25">
      <c r="A125" t="s">
        <v>1425</v>
      </c>
      <c r="B125" t="s">
        <v>1426</v>
      </c>
      <c r="D125" t="s">
        <v>153</v>
      </c>
      <c r="E125" t="s">
        <v>80</v>
      </c>
      <c r="F125">
        <v>79701</v>
      </c>
      <c r="G125" t="s">
        <v>62</v>
      </c>
      <c r="I125">
        <v>191</v>
      </c>
      <c r="J125" t="s">
        <v>63</v>
      </c>
      <c r="K125" t="s">
        <v>4133</v>
      </c>
      <c r="L125" t="s">
        <v>149</v>
      </c>
      <c r="M125">
        <v>10</v>
      </c>
      <c r="N125" t="s">
        <v>1427</v>
      </c>
      <c r="O125" t="s">
        <v>1428</v>
      </c>
      <c r="Q125" t="s">
        <v>1429</v>
      </c>
      <c r="R125" t="s">
        <v>153</v>
      </c>
      <c r="S125" t="s">
        <v>94</v>
      </c>
      <c r="T125" t="s">
        <v>1430</v>
      </c>
      <c r="U125" t="s">
        <v>62</v>
      </c>
      <c r="V125">
        <v>4326825241</v>
      </c>
      <c r="W125" s="1">
        <v>22998457</v>
      </c>
      <c r="X125">
        <v>8</v>
      </c>
      <c r="Y125">
        <v>51</v>
      </c>
      <c r="Z125">
        <v>1936</v>
      </c>
      <c r="AA125" t="s">
        <v>163</v>
      </c>
      <c r="AB125" t="s">
        <v>1431</v>
      </c>
      <c r="AC125" t="s">
        <v>165</v>
      </c>
      <c r="AD125" t="s">
        <v>99</v>
      </c>
      <c r="AE125">
        <v>1311</v>
      </c>
      <c r="AF125" t="s">
        <v>100</v>
      </c>
      <c r="AG125">
        <v>1382</v>
      </c>
      <c r="AH125" t="s">
        <v>120</v>
      </c>
      <c r="AI125">
        <v>13110101</v>
      </c>
      <c r="AJ125" t="s">
        <v>102</v>
      </c>
      <c r="AK125">
        <v>13820000</v>
      </c>
      <c r="AL125" t="s">
        <v>119</v>
      </c>
      <c r="AM125">
        <v>211120</v>
      </c>
      <c r="AN125" t="s">
        <v>104</v>
      </c>
      <c r="AO125">
        <v>213112</v>
      </c>
      <c r="AP125" t="s">
        <v>74</v>
      </c>
      <c r="AQ125" t="s">
        <v>75</v>
      </c>
      <c r="AR125" t="s">
        <v>1427</v>
      </c>
      <c r="AS125" t="s">
        <v>1428</v>
      </c>
      <c r="AT125" t="s">
        <v>427</v>
      </c>
      <c r="AU125" t="s">
        <v>80</v>
      </c>
      <c r="AV125" t="s">
        <v>62</v>
      </c>
      <c r="AW125" t="s">
        <v>1427</v>
      </c>
      <c r="AX125" t="s">
        <v>1428</v>
      </c>
      <c r="AY125" t="s">
        <v>80</v>
      </c>
      <c r="AZ125" t="s">
        <v>62</v>
      </c>
      <c r="BE125" t="s">
        <v>62</v>
      </c>
      <c r="BF125">
        <v>1</v>
      </c>
      <c r="BG125">
        <v>6</v>
      </c>
      <c r="BH125" s="4" t="s">
        <v>1427</v>
      </c>
      <c r="BI125" s="4" t="s">
        <v>1428</v>
      </c>
      <c r="BK125" s="4" t="s">
        <v>1429</v>
      </c>
      <c r="BL125" s="4" t="s">
        <v>153</v>
      </c>
      <c r="BM125" s="4" t="s">
        <v>94</v>
      </c>
      <c r="BN125" s="4" t="s">
        <v>1430</v>
      </c>
      <c r="BO125" s="4" t="s">
        <v>62</v>
      </c>
      <c r="BP125" s="4">
        <v>4326825241</v>
      </c>
      <c r="BQ125" s="5">
        <v>22998457</v>
      </c>
      <c r="BR125" s="4">
        <v>8</v>
      </c>
      <c r="BS125" s="4">
        <v>51</v>
      </c>
      <c r="BT125" s="4">
        <v>1936</v>
      </c>
      <c r="BU125" s="4" t="s">
        <v>163</v>
      </c>
      <c r="BV125" s="4" t="s">
        <v>1431</v>
      </c>
      <c r="BW125" s="4" t="s">
        <v>165</v>
      </c>
      <c r="BX125" s="4" t="s">
        <v>99</v>
      </c>
      <c r="BY125" s="4">
        <v>1311</v>
      </c>
      <c r="BZ125" s="4" t="s">
        <v>100</v>
      </c>
      <c r="CA125" s="4">
        <v>1382</v>
      </c>
      <c r="CB125" s="4" t="s">
        <v>120</v>
      </c>
      <c r="CC125" s="4">
        <v>13110101</v>
      </c>
      <c r="CD125" s="4" t="s">
        <v>102</v>
      </c>
      <c r="CE125" s="4">
        <v>13820000</v>
      </c>
      <c r="CF125" s="4" t="s">
        <v>119</v>
      </c>
      <c r="CG125" s="4">
        <v>211120</v>
      </c>
      <c r="CH125" s="4" t="s">
        <v>104</v>
      </c>
      <c r="CI125" s="4">
        <v>213112</v>
      </c>
      <c r="CJ125" s="4" t="s">
        <v>74</v>
      </c>
      <c r="CK125" s="19">
        <f>IF(BQ125&gt;0,BQ125,W125)</f>
        <v>22998457</v>
      </c>
      <c r="CL125" s="20">
        <f>IF(BS125&gt;0,BS125,Y125)</f>
        <v>51</v>
      </c>
      <c r="CM125" s="34">
        <f>IF(CG125&gt;0,CG125,AM125)</f>
        <v>211120</v>
      </c>
      <c r="CN125" s="80">
        <f>IF($BH125="",1,COUNTIF($BH$3:$BH125,$BH125))</f>
        <v>1</v>
      </c>
      <c r="CP125" t="str">
        <f>IF($K125="Standard Match","Match",IF($K125="Name Only Match",IF($CO125="Yes","Match","Name Only Match"),"No Match"))</f>
        <v>Match</v>
      </c>
      <c r="CQ125" s="35" t="str">
        <f>IF(AND(CP125="Match",CK125&gt;0,CL125&gt;0),"Y","N")</f>
        <v>Y</v>
      </c>
      <c r="CS125" t="str">
        <f>IF($CQ125="Y",VLOOKUP($CM125,'SBA Size Standards'!$B$3:$G$57,MATCH('SBA Size Standards'!$G$3,'SBA Size Standards'!$B$3:$G$3,0),FALSE),"")</f>
        <v>Employment</v>
      </c>
      <c r="CT125" s="60" t="str">
        <f>IF(CQ125="Y",IF($CS125="Employment","N/A",VLOOKUP($CM125,'SBA Size Standards'!$B$3:$G$57,MATCH('SBA Size Standards'!$E$3,'SBA Size Standards'!$B$3:$G$3,0),FALSE)),"")</f>
        <v>N/A</v>
      </c>
      <c r="CU125" s="86">
        <f>IF($CQ125="Y",IF($CS125="Revenue","N/A",VLOOKUP($CM125,'SBA Size Standards'!$B$3:$G$57,MATCH('SBA Size Standards'!$F$3,'SBA Size Standards'!$B$3:$G$3,0),FALSE)),"")</f>
        <v>1250</v>
      </c>
      <c r="CV125" t="str">
        <f>IF($CQ125="Y",IF(OR(AND($CS125="Employment",$CL125&lt;$CU125),AND($CS125="Revenue",$CK125&lt;$CT125)),"YES","NO"),"")</f>
        <v>YES</v>
      </c>
      <c r="CW125" s="90" t="str">
        <f>IF($CQ125="Y",INDEX('SBA Size Standards'!$N$3:$N$12,MATCH($CK125,'SBA Size Standards'!$O$3:$O$12,1)),"")</f>
        <v>$5,000,001 - $100,000,000</v>
      </c>
      <c r="CX125" s="122" t="s">
        <v>4620</v>
      </c>
      <c r="CY125" s="122">
        <f>INDEX('NM O&amp;G Production'!$P$3:$P$537,MATCH(CX125,'NM O&amp;G Production'!$Q$3:$Q$537,0))</f>
        <v>191</v>
      </c>
      <c r="CZ125" s="122" t="str">
        <f>INDEX('NM O&amp;G Production'!$O$3:$O$537,MATCH(CY125,'NM O&amp;G Production'!$P$3:$P$537,0))</f>
        <v>Yes</v>
      </c>
      <c r="DA125" s="127">
        <f>INDEX('NM O&amp;G Production'!$K$3:$O$537,MATCH($CY125,'NM O&amp;G Production'!$P$3:$P$537,0),MATCH(DA$2,'NM O&amp;G Production'!$K$2:$O$2,0))</f>
        <v>12</v>
      </c>
      <c r="DB125" s="127">
        <f>INDEX('NM O&amp;G Production'!$K$3:$O$537,MATCH($CY125,'NM O&amp;G Production'!$P$3:$P$537,0),MATCH(DB$2,'NM O&amp;G Production'!$K$2:$O$2,0))</f>
        <v>61</v>
      </c>
      <c r="DC125" s="127">
        <f>DA125+DB125</f>
        <v>73</v>
      </c>
      <c r="DD125" s="127">
        <f>INDEX('NM O&amp;G Production'!$K$3:$O$537,MATCH($CY125,'NM O&amp;G Production'!$P$3:$P$537,0),MATCH(DD$2,'NM O&amp;G Production'!$K$2:$O$2,0))</f>
        <v>1170987</v>
      </c>
      <c r="DE125" s="127">
        <f>INDEX('NM O&amp;G Production'!$K$3:$O$537,MATCH($CY125,'NM O&amp;G Production'!$P$3:$P$537,0),MATCH(DE$2,'NM O&amp;G Production'!$K$2:$O$2,0))</f>
        <v>11238</v>
      </c>
      <c r="DF125" s="258">
        <f>CK125/(DB125+DA125)</f>
        <v>315047.35616438359</v>
      </c>
      <c r="DG125" s="57">
        <f>DD125*(12/18)*1.06*'Oil and Gas Prices'!$C$18</f>
        <v>1977718.9772000003</v>
      </c>
      <c r="DH125" s="284">
        <f>DE125*(12/18)*'Oil and Gas Prices'!$C$4</f>
        <v>337140</v>
      </c>
      <c r="DI125" s="284">
        <f>DG125+DH125</f>
        <v>2314858.9772000005</v>
      </c>
      <c r="DJ125" s="57">
        <f>(DG125+DH125)/(DA125+DB125)</f>
        <v>31710.396947945213</v>
      </c>
      <c r="DK125" s="319"/>
    </row>
    <row r="126" spans="1:115" x14ac:dyDescent="0.25">
      <c r="A126" t="s">
        <v>711</v>
      </c>
      <c r="B126" t="s">
        <v>712</v>
      </c>
      <c r="D126" t="s">
        <v>418</v>
      </c>
      <c r="E126" t="s">
        <v>80</v>
      </c>
      <c r="F126">
        <v>76307</v>
      </c>
      <c r="G126" t="s">
        <v>62</v>
      </c>
      <c r="I126">
        <v>88</v>
      </c>
      <c r="J126" t="s">
        <v>63</v>
      </c>
      <c r="K126" t="s">
        <v>4133</v>
      </c>
      <c r="L126" t="s">
        <v>149</v>
      </c>
      <c r="M126">
        <v>10</v>
      </c>
      <c r="N126" t="s">
        <v>713</v>
      </c>
      <c r="O126" t="s">
        <v>714</v>
      </c>
      <c r="Q126" t="s">
        <v>715</v>
      </c>
      <c r="R126" t="s">
        <v>418</v>
      </c>
      <c r="S126" t="s">
        <v>94</v>
      </c>
      <c r="T126" t="s">
        <v>716</v>
      </c>
      <c r="U126" t="s">
        <v>62</v>
      </c>
      <c r="V126">
        <v>9407234331</v>
      </c>
      <c r="W126" s="1">
        <v>22757921</v>
      </c>
      <c r="X126">
        <v>35</v>
      </c>
      <c r="Y126">
        <v>36</v>
      </c>
      <c r="Z126">
        <v>1981</v>
      </c>
      <c r="AA126" t="s">
        <v>163</v>
      </c>
      <c r="AB126" t="s">
        <v>717</v>
      </c>
      <c r="AC126" t="s">
        <v>133</v>
      </c>
      <c r="AD126" t="s">
        <v>119</v>
      </c>
      <c r="AE126">
        <v>1382</v>
      </c>
      <c r="AF126" t="s">
        <v>120</v>
      </c>
      <c r="AG126">
        <v>1311</v>
      </c>
      <c r="AH126" t="s">
        <v>100</v>
      </c>
      <c r="AI126">
        <v>13820000</v>
      </c>
      <c r="AJ126" t="s">
        <v>119</v>
      </c>
      <c r="AK126">
        <v>13110000</v>
      </c>
      <c r="AL126" t="s">
        <v>276</v>
      </c>
      <c r="AM126">
        <v>213112</v>
      </c>
      <c r="AN126" t="s">
        <v>74</v>
      </c>
      <c r="AO126">
        <v>211120</v>
      </c>
      <c r="AP126" t="s">
        <v>104</v>
      </c>
      <c r="AQ126" t="s">
        <v>75</v>
      </c>
      <c r="AR126" t="s">
        <v>713</v>
      </c>
      <c r="AS126" t="s">
        <v>714</v>
      </c>
      <c r="AT126" t="s">
        <v>427</v>
      </c>
      <c r="AU126" t="s">
        <v>80</v>
      </c>
      <c r="AV126" t="s">
        <v>62</v>
      </c>
      <c r="AW126" t="s">
        <v>713</v>
      </c>
      <c r="AX126" t="s">
        <v>714</v>
      </c>
      <c r="AY126" t="s">
        <v>80</v>
      </c>
      <c r="AZ126" t="s">
        <v>62</v>
      </c>
      <c r="BE126" t="s">
        <v>62</v>
      </c>
      <c r="BF126">
        <v>1</v>
      </c>
      <c r="BG126">
        <v>3</v>
      </c>
      <c r="BH126" s="4" t="s">
        <v>713</v>
      </c>
      <c r="BI126" s="4" t="s">
        <v>714</v>
      </c>
      <c r="BK126" s="4" t="s">
        <v>715</v>
      </c>
      <c r="BL126" s="4" t="s">
        <v>418</v>
      </c>
      <c r="BM126" s="4" t="s">
        <v>94</v>
      </c>
      <c r="BN126" s="4" t="s">
        <v>716</v>
      </c>
      <c r="BO126" s="4" t="s">
        <v>62</v>
      </c>
      <c r="BP126" s="4">
        <v>9407234331</v>
      </c>
      <c r="BQ126" s="5">
        <v>22757921</v>
      </c>
      <c r="BR126" s="4">
        <v>35</v>
      </c>
      <c r="BS126" s="4">
        <v>36</v>
      </c>
      <c r="BT126" s="4">
        <v>1981</v>
      </c>
      <c r="BU126" s="4" t="s">
        <v>163</v>
      </c>
      <c r="BV126" s="4" t="s">
        <v>717</v>
      </c>
      <c r="BW126" s="4" t="s">
        <v>133</v>
      </c>
      <c r="BX126" s="4" t="s">
        <v>119</v>
      </c>
      <c r="BY126" s="4">
        <v>1382</v>
      </c>
      <c r="BZ126" s="4" t="s">
        <v>120</v>
      </c>
      <c r="CA126" s="4">
        <v>1311</v>
      </c>
      <c r="CB126" s="4" t="s">
        <v>100</v>
      </c>
      <c r="CC126" s="4">
        <v>13820000</v>
      </c>
      <c r="CD126" s="4" t="s">
        <v>119</v>
      </c>
      <c r="CE126" s="4">
        <v>13110000</v>
      </c>
      <c r="CF126" s="4" t="s">
        <v>276</v>
      </c>
      <c r="CG126" s="4">
        <v>213112</v>
      </c>
      <c r="CH126" s="4" t="s">
        <v>74</v>
      </c>
      <c r="CI126" s="4">
        <v>211120</v>
      </c>
      <c r="CJ126" s="4" t="s">
        <v>104</v>
      </c>
      <c r="CK126" s="19">
        <f>IF(BQ126&gt;0,BQ126,W126)</f>
        <v>22757921</v>
      </c>
      <c r="CL126" s="20">
        <f>IF(BS126&gt;0,BS126,Y126)</f>
        <v>36</v>
      </c>
      <c r="CM126" s="34">
        <f>IF(CG126&gt;0,CG126,AM126)</f>
        <v>213112</v>
      </c>
      <c r="CN126" s="80">
        <f>IF($BH126="",1,COUNTIF($BH$3:$BH126,$BH126))</f>
        <v>1</v>
      </c>
      <c r="CP126" t="str">
        <f>IF($K126="Standard Match","Match",IF($K126="Name Only Match",IF($CO126="Yes","Match","Name Only Match"),"No Match"))</f>
        <v>Match</v>
      </c>
      <c r="CQ126" s="35" t="str">
        <f>IF(AND(CP126="Match",CK126&gt;0,CL126&gt;0),"Y","N")</f>
        <v>Y</v>
      </c>
      <c r="CS126" t="str">
        <f>IF($CQ126="Y",VLOOKUP($CM126,'SBA Size Standards'!$B$3:$G$57,MATCH('SBA Size Standards'!$G$3,'SBA Size Standards'!$B$3:$G$3,0),FALSE),"")</f>
        <v>Revenue</v>
      </c>
      <c r="CT126" s="60">
        <f>IF(CQ126="Y",IF($CS126="Employment","N/A",VLOOKUP($CM126,'SBA Size Standards'!$B$3:$G$57,MATCH('SBA Size Standards'!$E$3,'SBA Size Standards'!$B$3:$G$3,0),FALSE)),"")</f>
        <v>41500000</v>
      </c>
      <c r="CU126" s="86" t="str">
        <f>IF($CQ126="Y",IF($CS126="Revenue","N/A",VLOOKUP($CM126,'SBA Size Standards'!$B$3:$G$57,MATCH('SBA Size Standards'!$F$3,'SBA Size Standards'!$B$3:$G$3,0),FALSE)),"")</f>
        <v>N/A</v>
      </c>
      <c r="CV126" t="str">
        <f>IF($CQ126="Y",IF(OR(AND($CS126="Employment",$CL126&lt;$CU126),AND($CS126="Revenue",$CK126&lt;$CT126)),"YES","NO"),"")</f>
        <v>YES</v>
      </c>
      <c r="CW126" s="90" t="str">
        <f>IF($CQ126="Y",INDEX('SBA Size Standards'!$N$3:$N$12,MATCH($CK126,'SBA Size Standards'!$O$3:$O$12,1)),"")</f>
        <v>$5,000,001 - $100,000,000</v>
      </c>
      <c r="CX126" s="122" t="s">
        <v>4573</v>
      </c>
      <c r="CY126" s="122">
        <f>INDEX('NM O&amp;G Production'!$P$3:$P$537,MATCH(CX126,'NM O&amp;G Production'!$Q$3:$Q$537,0))</f>
        <v>88</v>
      </c>
      <c r="CZ126" s="122" t="str">
        <f>INDEX('NM O&amp;G Production'!$O$3:$O$537,MATCH(CY126,'NM O&amp;G Production'!$P$3:$P$537,0))</f>
        <v>Yes</v>
      </c>
      <c r="DA126" s="127">
        <f>INDEX('NM O&amp;G Production'!$K$3:$O$537,MATCH($CY126,'NM O&amp;G Production'!$P$3:$P$537,0),MATCH(DA$2,'NM O&amp;G Production'!$K$2:$O$2,0))</f>
        <v>1</v>
      </c>
      <c r="DB126" s="127">
        <f>INDEX('NM O&amp;G Production'!$K$3:$O$537,MATCH($CY126,'NM O&amp;G Production'!$P$3:$P$537,0),MATCH(DB$2,'NM O&amp;G Production'!$K$2:$O$2,0))</f>
        <v>0</v>
      </c>
      <c r="DC126" s="127">
        <f>DA126+DB126</f>
        <v>1</v>
      </c>
      <c r="DD126" s="127">
        <f>INDEX('NM O&amp;G Production'!$K$3:$O$537,MATCH($CY126,'NM O&amp;G Production'!$P$3:$P$537,0),MATCH(DD$2,'NM O&amp;G Production'!$K$2:$O$2,0))</f>
        <v>0</v>
      </c>
      <c r="DE126" s="127">
        <f>INDEX('NM O&amp;G Production'!$K$3:$O$537,MATCH($CY126,'NM O&amp;G Production'!$P$3:$P$537,0),MATCH(DE$2,'NM O&amp;G Production'!$K$2:$O$2,0))</f>
        <v>1242</v>
      </c>
      <c r="DF126" s="258">
        <f>CK126/(DB126+DA126)</f>
        <v>22757921</v>
      </c>
      <c r="DG126" s="57">
        <f>DD126*(12/18)*1.06*'Oil and Gas Prices'!$C$18</f>
        <v>0</v>
      </c>
      <c r="DH126" s="284">
        <f>DE126*(12/18)*'Oil and Gas Prices'!$C$4</f>
        <v>37260</v>
      </c>
      <c r="DI126" s="284">
        <f>DG126+DH126</f>
        <v>37260</v>
      </c>
      <c r="DJ126" s="57">
        <f>(DG126+DH126)/(DA126+DB126)</f>
        <v>37260</v>
      </c>
      <c r="DK126" s="318"/>
    </row>
    <row r="127" spans="1:115" x14ac:dyDescent="0.25">
      <c r="A127" t="s">
        <v>3477</v>
      </c>
      <c r="B127" t="s">
        <v>3478</v>
      </c>
      <c r="D127" t="s">
        <v>88</v>
      </c>
      <c r="E127" t="s">
        <v>80</v>
      </c>
      <c r="F127">
        <v>76102</v>
      </c>
      <c r="G127" t="s">
        <v>62</v>
      </c>
      <c r="I127">
        <v>512</v>
      </c>
      <c r="J127" t="s">
        <v>63</v>
      </c>
      <c r="K127" t="s">
        <v>4133</v>
      </c>
      <c r="L127" t="s">
        <v>64</v>
      </c>
      <c r="M127">
        <v>10</v>
      </c>
      <c r="N127" t="s">
        <v>3479</v>
      </c>
      <c r="O127" t="s">
        <v>3480</v>
      </c>
      <c r="Q127" t="s">
        <v>3481</v>
      </c>
      <c r="R127" t="s">
        <v>88</v>
      </c>
      <c r="S127" t="s">
        <v>94</v>
      </c>
      <c r="T127" t="s">
        <v>3482</v>
      </c>
      <c r="U127" t="s">
        <v>62</v>
      </c>
      <c r="V127">
        <v>8173352222</v>
      </c>
      <c r="W127" s="1">
        <v>22007491</v>
      </c>
      <c r="X127">
        <v>40</v>
      </c>
      <c r="Y127">
        <v>47</v>
      </c>
      <c r="Z127">
        <v>1955</v>
      </c>
      <c r="AA127" t="s">
        <v>163</v>
      </c>
      <c r="AB127" t="s">
        <v>3483</v>
      </c>
      <c r="AC127" t="s">
        <v>98</v>
      </c>
      <c r="AD127" t="s">
        <v>99</v>
      </c>
      <c r="AE127">
        <v>1311</v>
      </c>
      <c r="AF127" t="s">
        <v>100</v>
      </c>
      <c r="AI127">
        <v>13110101</v>
      </c>
      <c r="AJ127" t="s">
        <v>102</v>
      </c>
      <c r="AM127">
        <v>211120</v>
      </c>
      <c r="AN127" t="s">
        <v>104</v>
      </c>
      <c r="AQ127" t="s">
        <v>75</v>
      </c>
      <c r="AR127" t="s">
        <v>3479</v>
      </c>
      <c r="AS127" t="s">
        <v>3480</v>
      </c>
      <c r="AT127" t="s">
        <v>427</v>
      </c>
      <c r="AU127" t="s">
        <v>80</v>
      </c>
      <c r="AV127" t="s">
        <v>62</v>
      </c>
      <c r="AW127" t="s">
        <v>3479</v>
      </c>
      <c r="AX127" t="s">
        <v>3480</v>
      </c>
      <c r="AY127" t="s">
        <v>80</v>
      </c>
      <c r="AZ127" t="s">
        <v>62</v>
      </c>
      <c r="BE127" t="s">
        <v>62</v>
      </c>
      <c r="BF127">
        <v>1</v>
      </c>
      <c r="BG127">
        <v>2</v>
      </c>
      <c r="BH127" s="4" t="s">
        <v>3479</v>
      </c>
      <c r="BI127" s="4" t="s">
        <v>3480</v>
      </c>
      <c r="BK127" s="4" t="s">
        <v>3481</v>
      </c>
      <c r="BL127" s="4" t="s">
        <v>88</v>
      </c>
      <c r="BM127" s="4" t="s">
        <v>94</v>
      </c>
      <c r="BN127" s="4" t="s">
        <v>3482</v>
      </c>
      <c r="BO127" s="4" t="s">
        <v>62</v>
      </c>
      <c r="BP127" s="4">
        <v>8173352222</v>
      </c>
      <c r="BQ127" s="5">
        <v>22007491</v>
      </c>
      <c r="BR127" s="4">
        <v>40</v>
      </c>
      <c r="BS127" s="4">
        <v>47</v>
      </c>
      <c r="BT127" s="4">
        <v>1955</v>
      </c>
      <c r="BU127" s="4" t="s">
        <v>163</v>
      </c>
      <c r="BV127" s="4" t="s">
        <v>3483</v>
      </c>
      <c r="BW127" s="4" t="s">
        <v>98</v>
      </c>
      <c r="BX127" s="4" t="s">
        <v>99</v>
      </c>
      <c r="BY127" s="4">
        <v>1311</v>
      </c>
      <c r="BZ127" s="4" t="s">
        <v>100</v>
      </c>
      <c r="CC127" s="4">
        <v>13110101</v>
      </c>
      <c r="CD127" s="4" t="s">
        <v>102</v>
      </c>
      <c r="CG127" s="4">
        <v>211120</v>
      </c>
      <c r="CH127" s="4" t="s">
        <v>104</v>
      </c>
      <c r="CK127" s="19">
        <f>IF(BQ127&gt;0,BQ127,W127)</f>
        <v>22007491</v>
      </c>
      <c r="CL127" s="20">
        <f>IF(BS127&gt;0,BS127,Y127)</f>
        <v>47</v>
      </c>
      <c r="CM127" s="34">
        <f>IF(CG127&gt;0,CG127,AM127)</f>
        <v>211120</v>
      </c>
      <c r="CN127" s="80">
        <f>IF($BH127="",1,COUNTIF($BH$3:$BH127,$BH127))</f>
        <v>1</v>
      </c>
      <c r="CP127" t="str">
        <f>IF($K127="Standard Match","Match",IF($K127="Name Only Match",IF($CO127="Yes","Match","Name Only Match"),"No Match"))</f>
        <v>Match</v>
      </c>
      <c r="CQ127" s="35" t="str">
        <f>IF(AND(CP127="Match",CK127&gt;0,CL127&gt;0),"Y","N")</f>
        <v>Y</v>
      </c>
      <c r="CS127" t="str">
        <f>IF($CQ127="Y",VLOOKUP($CM127,'SBA Size Standards'!$B$3:$G$57,MATCH('SBA Size Standards'!$G$3,'SBA Size Standards'!$B$3:$G$3,0),FALSE),"")</f>
        <v>Employment</v>
      </c>
      <c r="CT127" s="60" t="str">
        <f>IF(CQ127="Y",IF($CS127="Employment","N/A",VLOOKUP($CM127,'SBA Size Standards'!$B$3:$G$57,MATCH('SBA Size Standards'!$E$3,'SBA Size Standards'!$B$3:$G$3,0),FALSE)),"")</f>
        <v>N/A</v>
      </c>
      <c r="CU127" s="86">
        <f>IF($CQ127="Y",IF($CS127="Revenue","N/A",VLOOKUP($CM127,'SBA Size Standards'!$B$3:$G$57,MATCH('SBA Size Standards'!$F$3,'SBA Size Standards'!$B$3:$G$3,0),FALSE)),"")</f>
        <v>1250</v>
      </c>
      <c r="CV127" t="str">
        <f>IF($CQ127="Y",IF(OR(AND($CS127="Employment",$CL127&lt;$CU127),AND($CS127="Revenue",$CK127&lt;$CT127)),"YES","NO"),"")</f>
        <v>YES</v>
      </c>
      <c r="CW127" s="90" t="str">
        <f>IF($CQ127="Y",INDEX('SBA Size Standards'!$N$3:$N$12,MATCH($CK127,'SBA Size Standards'!$O$3:$O$12,1)),"")</f>
        <v>$5,000,001 - $100,000,000</v>
      </c>
      <c r="CX127" s="122" t="s">
        <v>4780</v>
      </c>
      <c r="CY127" s="122">
        <f>INDEX('NM O&amp;G Production'!$P$3:$P$537,MATCH(CX127,'NM O&amp;G Production'!$Q$3:$Q$537,0))</f>
        <v>512</v>
      </c>
      <c r="CZ127" s="122" t="str">
        <f>INDEX('NM O&amp;G Production'!$O$3:$O$537,MATCH(CY127,'NM O&amp;G Production'!$P$3:$P$537,0))</f>
        <v>yes</v>
      </c>
      <c r="DA127" s="127">
        <f>INDEX('NM O&amp;G Production'!$K$3:$O$537,MATCH($CY127,'NM O&amp;G Production'!$P$3:$P$537,0),MATCH(DA$2,'NM O&amp;G Production'!$K$2:$O$2,0))</f>
        <v>0</v>
      </c>
      <c r="DB127" s="127">
        <f>INDEX('NM O&amp;G Production'!$K$3:$O$537,MATCH($CY127,'NM O&amp;G Production'!$P$3:$P$537,0),MATCH(DB$2,'NM O&amp;G Production'!$K$2:$O$2,0))</f>
        <v>7</v>
      </c>
      <c r="DC127" s="127">
        <f>DA127+DB127</f>
        <v>7</v>
      </c>
      <c r="DD127" s="127">
        <f>INDEX('NM O&amp;G Production'!$K$3:$O$537,MATCH($CY127,'NM O&amp;G Production'!$P$3:$P$537,0),MATCH(DD$2,'NM O&amp;G Production'!$K$2:$O$2,0))</f>
        <v>17231</v>
      </c>
      <c r="DE127" s="127">
        <f>INDEX('NM O&amp;G Production'!$K$3:$O$537,MATCH($CY127,'NM O&amp;G Production'!$P$3:$P$537,0),MATCH(DE$2,'NM O&amp;G Production'!$K$2:$O$2,0))</f>
        <v>7119</v>
      </c>
      <c r="DF127" s="258">
        <f>CK127/(DB127+DA127)</f>
        <v>3143927.2857142859</v>
      </c>
      <c r="DG127" s="57">
        <f>DD127*(12/18)*1.06*'Oil and Gas Prices'!$C$18</f>
        <v>29102.010266666664</v>
      </c>
      <c r="DH127" s="284">
        <f>DE127*(12/18)*'Oil and Gas Prices'!$C$4</f>
        <v>213570</v>
      </c>
      <c r="DI127" s="284">
        <f>DG127+DH127</f>
        <v>242672.01026666665</v>
      </c>
      <c r="DJ127" s="57">
        <f>(DG127+DH127)/(DA127+DB127)</f>
        <v>34667.430038095234</v>
      </c>
      <c r="DK127" s="318"/>
    </row>
    <row r="128" spans="1:115" x14ac:dyDescent="0.25">
      <c r="A128" t="s">
        <v>294</v>
      </c>
      <c r="B128" t="s">
        <v>295</v>
      </c>
      <c r="D128" t="s">
        <v>153</v>
      </c>
      <c r="E128" t="s">
        <v>80</v>
      </c>
      <c r="F128">
        <v>79710</v>
      </c>
      <c r="G128" t="s">
        <v>62</v>
      </c>
      <c r="I128">
        <v>29</v>
      </c>
      <c r="J128" t="s">
        <v>63</v>
      </c>
      <c r="K128" t="s">
        <v>4133</v>
      </c>
      <c r="L128" t="s">
        <v>149</v>
      </c>
      <c r="M128">
        <v>10</v>
      </c>
      <c r="N128" t="s">
        <v>296</v>
      </c>
      <c r="O128" t="s">
        <v>297</v>
      </c>
      <c r="Q128" t="s">
        <v>298</v>
      </c>
      <c r="R128" t="s">
        <v>153</v>
      </c>
      <c r="S128" t="s">
        <v>94</v>
      </c>
      <c r="T128" t="s">
        <v>299</v>
      </c>
      <c r="U128" t="s">
        <v>62</v>
      </c>
      <c r="V128">
        <v>4326849696</v>
      </c>
      <c r="W128" s="1">
        <v>20959853</v>
      </c>
      <c r="X128">
        <v>35</v>
      </c>
      <c r="Y128">
        <v>35</v>
      </c>
      <c r="Z128">
        <v>1990</v>
      </c>
      <c r="AA128" t="s">
        <v>70</v>
      </c>
      <c r="AB128" t="s">
        <v>300</v>
      </c>
      <c r="AC128" t="s">
        <v>98</v>
      </c>
      <c r="AD128" t="s">
        <v>119</v>
      </c>
      <c r="AE128">
        <v>1382</v>
      </c>
      <c r="AF128" t="s">
        <v>120</v>
      </c>
      <c r="AI128">
        <v>13820000</v>
      </c>
      <c r="AJ128" t="s">
        <v>119</v>
      </c>
      <c r="AM128">
        <v>213112</v>
      </c>
      <c r="AN128" t="s">
        <v>74</v>
      </c>
      <c r="AQ128" t="s">
        <v>75</v>
      </c>
      <c r="AT128" t="s">
        <v>76</v>
      </c>
      <c r="BF128">
        <v>0</v>
      </c>
      <c r="BG128">
        <v>0</v>
      </c>
      <c r="CK128" s="19">
        <f>IF(BQ128&gt;0,BQ128,W128)</f>
        <v>20959853</v>
      </c>
      <c r="CL128" s="20">
        <f>IF(BS128&gt;0,BS128,Y128)</f>
        <v>35</v>
      </c>
      <c r="CM128" s="34">
        <f>IF(CG128&gt;0,CG128,AM128)</f>
        <v>213112</v>
      </c>
      <c r="CN128" s="80">
        <f>IF($BH128="",1,COUNTIF($BH$3:$BH128,$BH128))</f>
        <v>1</v>
      </c>
      <c r="CP128" t="str">
        <f>IF($K128="Standard Match","Match",IF($K128="Name Only Match",IF($CO128="Yes","Match","Name Only Match"),"No Match"))</f>
        <v>Match</v>
      </c>
      <c r="CQ128" s="35" t="str">
        <f>IF(AND(CP128="Match",CK128&gt;0,CL128&gt;0),"Y","N")</f>
        <v>Y</v>
      </c>
      <c r="CS128" t="str">
        <f>IF($CQ128="Y",VLOOKUP($CM128,'SBA Size Standards'!$B$3:$G$57,MATCH('SBA Size Standards'!$G$3,'SBA Size Standards'!$B$3:$G$3,0),FALSE),"")</f>
        <v>Revenue</v>
      </c>
      <c r="CT128" s="60">
        <f>IF(CQ128="Y",IF($CS128="Employment","N/A",VLOOKUP($CM128,'SBA Size Standards'!$B$3:$G$57,MATCH('SBA Size Standards'!$E$3,'SBA Size Standards'!$B$3:$G$3,0),FALSE)),"")</f>
        <v>41500000</v>
      </c>
      <c r="CU128" s="86" t="str">
        <f>IF($CQ128="Y",IF($CS128="Revenue","N/A",VLOOKUP($CM128,'SBA Size Standards'!$B$3:$G$57,MATCH('SBA Size Standards'!$F$3,'SBA Size Standards'!$B$3:$G$3,0),FALSE)),"")</f>
        <v>N/A</v>
      </c>
      <c r="CV128" t="str">
        <f>IF($CQ128="Y",IF(OR(AND($CS128="Employment",$CL128&lt;$CU128),AND($CS128="Revenue",$CK128&lt;$CT128)),"YES","NO"),"")</f>
        <v>YES</v>
      </c>
      <c r="CW128" s="90" t="str">
        <f>IF($CQ128="Y",INDEX('SBA Size Standards'!$N$3:$N$12,MATCH($CK128,'SBA Size Standards'!$O$3:$O$12,1)),"")</f>
        <v>$5,000,001 - $100,000,000</v>
      </c>
      <c r="CX128" s="122" t="s">
        <v>4545</v>
      </c>
      <c r="CY128" s="122">
        <f>INDEX('NM O&amp;G Production'!$P$3:$P$537,MATCH(CX128,'NM O&amp;G Production'!$Q$3:$Q$537,0))</f>
        <v>29</v>
      </c>
      <c r="CZ128" s="122" t="str">
        <f>INDEX('NM O&amp;G Production'!$O$3:$O$537,MATCH(CY128,'NM O&amp;G Production'!$P$3:$P$537,0))</f>
        <v>Yes</v>
      </c>
      <c r="DA128" s="127">
        <f>INDEX('NM O&amp;G Production'!$K$3:$O$537,MATCH($CY128,'NM O&amp;G Production'!$P$3:$P$537,0),MATCH(DA$2,'NM O&amp;G Production'!$K$2:$O$2,0))</f>
        <v>1</v>
      </c>
      <c r="DB128" s="127">
        <f>INDEX('NM O&amp;G Production'!$K$3:$O$537,MATCH($CY128,'NM O&amp;G Production'!$P$3:$P$537,0),MATCH(DB$2,'NM O&amp;G Production'!$K$2:$O$2,0))</f>
        <v>0</v>
      </c>
      <c r="DC128" s="127">
        <f>DA128+DB128</f>
        <v>1</v>
      </c>
      <c r="DD128" s="127">
        <f>INDEX('NM O&amp;G Production'!$K$3:$O$537,MATCH($CY128,'NM O&amp;G Production'!$P$3:$P$537,0),MATCH(DD$2,'NM O&amp;G Production'!$K$2:$O$2,0))</f>
        <v>14898</v>
      </c>
      <c r="DE128" s="127">
        <f>INDEX('NM O&amp;G Production'!$K$3:$O$537,MATCH($CY128,'NM O&amp;G Production'!$P$3:$P$537,0),MATCH(DE$2,'NM O&amp;G Production'!$K$2:$O$2,0))</f>
        <v>0</v>
      </c>
      <c r="DF128" s="258">
        <f>CK128/(DB128+DA128)</f>
        <v>20959853</v>
      </c>
      <c r="DG128" s="57">
        <f>DD128*(12/18)*1.06*'Oil and Gas Prices'!$C$18</f>
        <v>25161.728800000001</v>
      </c>
      <c r="DH128" s="284">
        <f>DE128*(12/18)*'Oil and Gas Prices'!$C$4</f>
        <v>0</v>
      </c>
      <c r="DI128" s="284">
        <f>DG128+DH128</f>
        <v>25161.728800000001</v>
      </c>
      <c r="DJ128" s="57">
        <f>(DG128+DH128)/(DA128+DB128)</f>
        <v>25161.728800000001</v>
      </c>
      <c r="DK128" s="318"/>
    </row>
    <row r="129" spans="1:115" x14ac:dyDescent="0.25">
      <c r="A129" s="21" t="s">
        <v>2325</v>
      </c>
      <c r="B129" s="21" t="s">
        <v>2326</v>
      </c>
      <c r="C129" s="21"/>
      <c r="D129" s="21" t="s">
        <v>206</v>
      </c>
      <c r="E129" s="21" t="s">
        <v>84</v>
      </c>
      <c r="F129">
        <v>88240</v>
      </c>
      <c r="G129" t="s">
        <v>62</v>
      </c>
      <c r="I129">
        <v>329</v>
      </c>
      <c r="J129" t="s">
        <v>63</v>
      </c>
      <c r="K129" t="s">
        <v>4134</v>
      </c>
      <c r="L129" t="s">
        <v>3627</v>
      </c>
      <c r="M129">
        <v>8</v>
      </c>
      <c r="N129" t="s">
        <v>3680</v>
      </c>
      <c r="O129" s="21" t="s">
        <v>3681</v>
      </c>
      <c r="P129" s="21"/>
      <c r="Q129" s="21" t="s">
        <v>3682</v>
      </c>
      <c r="R129" s="21" t="s">
        <v>378</v>
      </c>
      <c r="S129" s="21" t="s">
        <v>94</v>
      </c>
      <c r="T129" t="s">
        <v>3683</v>
      </c>
      <c r="U129" t="s">
        <v>62</v>
      </c>
      <c r="V129">
        <v>2147391778</v>
      </c>
      <c r="W129" s="23">
        <v>19973205</v>
      </c>
      <c r="X129" s="21">
        <v>15</v>
      </c>
      <c r="Y129" s="21">
        <v>45</v>
      </c>
      <c r="Z129">
        <v>1979</v>
      </c>
      <c r="AA129" s="21" t="s">
        <v>163</v>
      </c>
      <c r="AB129" t="s">
        <v>3684</v>
      </c>
      <c r="AC129" t="s">
        <v>98</v>
      </c>
      <c r="AD129" s="21" t="s">
        <v>99</v>
      </c>
      <c r="AE129">
        <v>1311</v>
      </c>
      <c r="AF129" t="s">
        <v>100</v>
      </c>
      <c r="AI129">
        <v>13110101</v>
      </c>
      <c r="AJ129" t="s">
        <v>102</v>
      </c>
      <c r="AM129" s="21">
        <v>211120</v>
      </c>
      <c r="AN129" s="21" t="s">
        <v>104</v>
      </c>
      <c r="AO129" s="21"/>
      <c r="AP129" s="21"/>
      <c r="AQ129" s="21" t="s">
        <v>75</v>
      </c>
      <c r="AR129" t="s">
        <v>3680</v>
      </c>
      <c r="AS129" t="s">
        <v>3681</v>
      </c>
      <c r="AT129" t="s">
        <v>427</v>
      </c>
      <c r="AU129" t="s">
        <v>80</v>
      </c>
      <c r="AV129" t="s">
        <v>62</v>
      </c>
      <c r="AW129" t="s">
        <v>3680</v>
      </c>
      <c r="AX129" t="s">
        <v>3681</v>
      </c>
      <c r="AY129" t="s">
        <v>80</v>
      </c>
      <c r="AZ129" t="s">
        <v>62</v>
      </c>
      <c r="BE129" t="s">
        <v>62</v>
      </c>
      <c r="BF129">
        <v>1</v>
      </c>
      <c r="BG129" s="24">
        <v>2</v>
      </c>
      <c r="BH129" s="24" t="s">
        <v>3680</v>
      </c>
      <c r="BI129" s="24" t="s">
        <v>3681</v>
      </c>
      <c r="BJ129" s="24"/>
      <c r="BK129" s="24" t="s">
        <v>3682</v>
      </c>
      <c r="BL129" s="24" t="s">
        <v>378</v>
      </c>
      <c r="BM129" s="24" t="s">
        <v>94</v>
      </c>
      <c r="BN129" s="24" t="s">
        <v>3683</v>
      </c>
      <c r="BO129" s="24" t="s">
        <v>62</v>
      </c>
      <c r="BP129" s="4">
        <v>2147391778</v>
      </c>
      <c r="BQ129" s="25">
        <v>19973205</v>
      </c>
      <c r="BR129" s="24">
        <v>15</v>
      </c>
      <c r="BS129" s="24">
        <v>45</v>
      </c>
      <c r="BT129" s="4">
        <v>1979</v>
      </c>
      <c r="BU129" s="24" t="s">
        <v>163</v>
      </c>
      <c r="BV129" s="4" t="s">
        <v>3684</v>
      </c>
      <c r="BW129" s="4" t="s">
        <v>98</v>
      </c>
      <c r="BX129" s="24" t="s">
        <v>99</v>
      </c>
      <c r="BY129" s="4">
        <v>1311</v>
      </c>
      <c r="BZ129" s="4" t="s">
        <v>100</v>
      </c>
      <c r="CC129" s="4">
        <v>13110101</v>
      </c>
      <c r="CD129" s="4" t="s">
        <v>102</v>
      </c>
      <c r="CG129" s="24">
        <v>211120</v>
      </c>
      <c r="CH129" s="24" t="s">
        <v>104</v>
      </c>
      <c r="CI129" s="24"/>
      <c r="CJ129" s="24"/>
      <c r="CK129" s="19">
        <f>IF(BQ129&gt;0,BQ129,W129)</f>
        <v>19973205</v>
      </c>
      <c r="CL129" s="20">
        <f>IF(BS129&gt;0,BS129,Y129)</f>
        <v>45</v>
      </c>
      <c r="CM129" s="34">
        <f>IF(CG129&gt;0,CG129,AM129)</f>
        <v>211120</v>
      </c>
      <c r="CN129" s="80">
        <f>IF($BH129="",1,COUNTIF($BH$3:$BH129,$BH129))</f>
        <v>1</v>
      </c>
      <c r="CO129" s="33" t="s">
        <v>4386</v>
      </c>
      <c r="CP129" t="str">
        <f>IF($K129="Standard Match","Match",IF($K129="Name Only Match",IF($CO129="Yes","Match","Name Only Match"),"No Match"))</f>
        <v>Match</v>
      </c>
      <c r="CQ129" s="35" t="str">
        <f>IF(AND(CP129="Match",CK129&gt;0,CL129&gt;0),"Y","N")</f>
        <v>Y</v>
      </c>
      <c r="CR129" s="21"/>
      <c r="CS129" t="str">
        <f>IF($CQ129="Y",VLOOKUP($CM129,'SBA Size Standards'!$B$3:$G$57,MATCH('SBA Size Standards'!$G$3,'SBA Size Standards'!$B$3:$G$3,0),FALSE),"")</f>
        <v>Employment</v>
      </c>
      <c r="CT129" s="60" t="str">
        <f>IF(CQ129="Y",IF($CS129="Employment","N/A",VLOOKUP($CM129,'SBA Size Standards'!$B$3:$G$57,MATCH('SBA Size Standards'!$E$3,'SBA Size Standards'!$B$3:$G$3,0),FALSE)),"")</f>
        <v>N/A</v>
      </c>
      <c r="CU129" s="86">
        <f>IF($CQ129="Y",IF($CS129="Revenue","N/A",VLOOKUP($CM129,'SBA Size Standards'!$B$3:$G$57,MATCH('SBA Size Standards'!$F$3,'SBA Size Standards'!$B$3:$G$3,0),FALSE)),"")</f>
        <v>1250</v>
      </c>
      <c r="CV129" t="str">
        <f>IF($CQ129="Y",IF(OR(AND($CS129="Employment",$CL129&lt;$CU129),AND($CS129="Revenue",$CK129&lt;$CT129)),"YES","NO"),"")</f>
        <v>YES</v>
      </c>
      <c r="CW129" s="90" t="str">
        <f>IF($CQ129="Y",INDEX('SBA Size Standards'!$N$3:$N$12,MATCH($CK129,'SBA Size Standards'!$O$3:$O$12,1)),"")</f>
        <v>$5,000,001 - $100,000,000</v>
      </c>
      <c r="CX129" s="122" t="s">
        <v>4981</v>
      </c>
      <c r="CY129" s="122">
        <f>INDEX('NM O&amp;G Production'!$P$3:$P$537,MATCH(CX129,'NM O&amp;G Production'!$Q$3:$Q$537,0))</f>
        <v>329</v>
      </c>
      <c r="CZ129" s="122" t="str">
        <f>INDEX('NM O&amp;G Production'!$O$3:$O$537,MATCH(CY129,'NM O&amp;G Production'!$P$3:$P$537,0))</f>
        <v>No</v>
      </c>
      <c r="DA129" s="127">
        <f>INDEX('NM O&amp;G Production'!$K$3:$O$537,MATCH($CY129,'NM O&amp;G Production'!$P$3:$P$537,0),MATCH(DA$2,'NM O&amp;G Production'!$K$2:$O$2,0))</f>
        <v>0</v>
      </c>
      <c r="DB129" s="127">
        <f>INDEX('NM O&amp;G Production'!$K$3:$O$537,MATCH($CY129,'NM O&amp;G Production'!$P$3:$P$537,0),MATCH(DB$2,'NM O&amp;G Production'!$K$2:$O$2,0))</f>
        <v>0</v>
      </c>
      <c r="DC129" s="127"/>
      <c r="DD129" s="127">
        <f>INDEX('NM O&amp;G Production'!$K$3:$O$537,MATCH($CY129,'NM O&amp;G Production'!$P$3:$P$537,0),MATCH(DD$2,'NM O&amp;G Production'!$K$2:$O$2,0))</f>
        <v>0</v>
      </c>
      <c r="DE129" s="127">
        <f>INDEX('NM O&amp;G Production'!$K$3:$O$537,MATCH($CY129,'NM O&amp;G Production'!$P$3:$P$537,0),MATCH(DE$2,'NM O&amp;G Production'!$K$2:$O$2,0))</f>
        <v>0</v>
      </c>
      <c r="DF129" s="258" t="e">
        <f>CK129/(DB129+DA129)</f>
        <v>#DIV/0!</v>
      </c>
      <c r="DG129" s="57">
        <f>DD129*(12/18)*1.06*'Oil and Gas Prices'!$C$18</f>
        <v>0</v>
      </c>
      <c r="DH129" s="284">
        <f>DE129*(12/18)*'Oil and Gas Prices'!$C$4</f>
        <v>0</v>
      </c>
      <c r="DI129" s="284"/>
      <c r="DJ129" s="57" t="e">
        <f>(DG129+DH129)/(DA129+DB129)</f>
        <v>#DIV/0!</v>
      </c>
      <c r="DK129" s="18" t="e">
        <f>CK129/DI129</f>
        <v>#DIV/0!</v>
      </c>
    </row>
    <row r="130" spans="1:115" x14ac:dyDescent="0.25">
      <c r="A130" t="s">
        <v>583</v>
      </c>
      <c r="B130" t="s">
        <v>584</v>
      </c>
      <c r="D130" t="s">
        <v>585</v>
      </c>
      <c r="E130" t="s">
        <v>184</v>
      </c>
      <c r="F130">
        <v>73114</v>
      </c>
      <c r="G130" t="s">
        <v>62</v>
      </c>
      <c r="I130">
        <v>72</v>
      </c>
      <c r="J130" t="s">
        <v>404</v>
      </c>
      <c r="K130" t="s">
        <v>4133</v>
      </c>
      <c r="L130" t="s">
        <v>113</v>
      </c>
      <c r="M130">
        <v>8</v>
      </c>
      <c r="N130" t="s">
        <v>586</v>
      </c>
      <c r="O130" t="s">
        <v>587</v>
      </c>
      <c r="P130" t="s">
        <v>588</v>
      </c>
      <c r="Q130" t="s">
        <v>584</v>
      </c>
      <c r="R130" t="s">
        <v>585</v>
      </c>
      <c r="S130" t="s">
        <v>188</v>
      </c>
      <c r="T130" t="s">
        <v>589</v>
      </c>
      <c r="U130" t="s">
        <v>62</v>
      </c>
      <c r="V130">
        <v>4054788770</v>
      </c>
      <c r="W130" s="1">
        <v>17200000</v>
      </c>
      <c r="X130">
        <v>300</v>
      </c>
      <c r="Y130">
        <v>300</v>
      </c>
      <c r="AA130" t="s">
        <v>70</v>
      </c>
      <c r="AB130" t="s">
        <v>590</v>
      </c>
      <c r="AC130" t="s">
        <v>98</v>
      </c>
      <c r="AD130" t="s">
        <v>99</v>
      </c>
      <c r="AE130">
        <v>1311</v>
      </c>
      <c r="AF130" t="s">
        <v>100</v>
      </c>
      <c r="AI130">
        <v>13110101</v>
      </c>
      <c r="AJ130" t="s">
        <v>102</v>
      </c>
      <c r="AM130">
        <v>211120</v>
      </c>
      <c r="AN130" t="s">
        <v>104</v>
      </c>
      <c r="AQ130" t="s">
        <v>75</v>
      </c>
      <c r="AT130" t="s">
        <v>76</v>
      </c>
      <c r="BF130">
        <v>0</v>
      </c>
      <c r="BG130">
        <v>0</v>
      </c>
      <c r="CK130" s="19">
        <f>IF(BQ130&gt;0,BQ130,W130)</f>
        <v>17200000</v>
      </c>
      <c r="CL130" s="20">
        <f>IF(BS130&gt;0,BS130,Y130)</f>
        <v>300</v>
      </c>
      <c r="CM130" s="34">
        <f>IF(CG130&gt;0,CG130,AM130)</f>
        <v>211120</v>
      </c>
      <c r="CN130" s="80">
        <f>IF($BH130="",1,COUNTIF($BH$3:$BH130,$BH130))</f>
        <v>1</v>
      </c>
      <c r="CP130" t="str">
        <f>IF($K130="Standard Match","Match",IF($K130="Name Only Match",IF($CO130="Yes","Match","Name Only Match"),"No Match"))</f>
        <v>Match</v>
      </c>
      <c r="CQ130" s="35" t="str">
        <f>IF(AND(CP130="Match",CK130&gt;0,CL130&gt;0),"Y","N")</f>
        <v>Y</v>
      </c>
      <c r="CS130" t="str">
        <f>IF($CQ130="Y",VLOOKUP($CM130,'SBA Size Standards'!$B$3:$G$57,MATCH('SBA Size Standards'!$G$3,'SBA Size Standards'!$B$3:$G$3,0),FALSE),"")</f>
        <v>Employment</v>
      </c>
      <c r="CT130" s="60" t="str">
        <f>IF(CQ130="Y",IF($CS130="Employment","N/A",VLOOKUP($CM130,'SBA Size Standards'!$B$3:$G$57,MATCH('SBA Size Standards'!$E$3,'SBA Size Standards'!$B$3:$G$3,0),FALSE)),"")</f>
        <v>N/A</v>
      </c>
      <c r="CU130" s="86">
        <f>IF($CQ130="Y",IF($CS130="Revenue","N/A",VLOOKUP($CM130,'SBA Size Standards'!$B$3:$G$57,MATCH('SBA Size Standards'!$F$3,'SBA Size Standards'!$B$3:$G$3,0),FALSE)),"")</f>
        <v>1250</v>
      </c>
      <c r="CV130" t="str">
        <f>IF($CQ130="Y",IF(OR(AND($CS130="Employment",$CL130&lt;$CU130),AND($CS130="Revenue",$CK130&lt;$CT130)),"YES","NO"),"")</f>
        <v>YES</v>
      </c>
      <c r="CW130" s="90" t="str">
        <f>IF($CQ130="Y",INDEX('SBA Size Standards'!$N$3:$N$12,MATCH($CK130,'SBA Size Standards'!$O$3:$O$12,1)),"")</f>
        <v>$5,000,001 - $100,000,000</v>
      </c>
      <c r="CX130" s="122" t="s">
        <v>4815</v>
      </c>
      <c r="CY130" s="122">
        <f>INDEX('NM O&amp;G Production'!$P$3:$P$537,MATCH(CX130,'NM O&amp;G Production'!$Q$3:$Q$537,0))</f>
        <v>72</v>
      </c>
      <c r="CZ130" s="122" t="str">
        <f>INDEX('NM O&amp;G Production'!$O$3:$O$537,MATCH(CY130,'NM O&amp;G Production'!$P$3:$P$537,0))</f>
        <v>No</v>
      </c>
      <c r="DA130" s="127">
        <f>INDEX('NM O&amp;G Production'!$K$3:$O$537,MATCH($CY130,'NM O&amp;G Production'!$P$3:$P$537,0),MATCH(DA$2,'NM O&amp;G Production'!$K$2:$O$2,0))</f>
        <v>0</v>
      </c>
      <c r="DB130" s="127">
        <f>INDEX('NM O&amp;G Production'!$K$3:$O$537,MATCH($CY130,'NM O&amp;G Production'!$P$3:$P$537,0),MATCH(DB$2,'NM O&amp;G Production'!$K$2:$O$2,0))</f>
        <v>0</v>
      </c>
      <c r="DC130" s="127"/>
      <c r="DD130" s="127">
        <f>INDEX('NM O&amp;G Production'!$K$3:$O$537,MATCH($CY130,'NM O&amp;G Production'!$P$3:$P$537,0),MATCH(DD$2,'NM O&amp;G Production'!$K$2:$O$2,0))</f>
        <v>0</v>
      </c>
      <c r="DE130" s="127">
        <f>INDEX('NM O&amp;G Production'!$K$3:$O$537,MATCH($CY130,'NM O&amp;G Production'!$P$3:$P$537,0),MATCH(DE$2,'NM O&amp;G Production'!$K$2:$O$2,0))</f>
        <v>0</v>
      </c>
      <c r="DF130" s="258" t="e">
        <f>CK130/(DB130+DA130)</f>
        <v>#DIV/0!</v>
      </c>
      <c r="DG130" s="57">
        <f>DD130*(12/18)*1.06*'Oil and Gas Prices'!$C$18</f>
        <v>0</v>
      </c>
      <c r="DH130" s="284">
        <f>DE130*(12/18)*'Oil and Gas Prices'!$C$4</f>
        <v>0</v>
      </c>
      <c r="DI130" s="284"/>
      <c r="DJ130" s="57" t="e">
        <f>(DG130+DH130)/(DA130+DB130)</f>
        <v>#DIV/0!</v>
      </c>
      <c r="DK130" s="18" t="e">
        <f>CK130/DI130</f>
        <v>#DIV/0!</v>
      </c>
    </row>
    <row r="131" spans="1:115" x14ac:dyDescent="0.25">
      <c r="A131" t="s">
        <v>2742</v>
      </c>
      <c r="B131" t="s">
        <v>829</v>
      </c>
      <c r="D131" t="s">
        <v>830</v>
      </c>
      <c r="E131" t="s">
        <v>80</v>
      </c>
      <c r="F131">
        <v>75244</v>
      </c>
      <c r="G131" t="s">
        <v>62</v>
      </c>
      <c r="I131">
        <v>397</v>
      </c>
      <c r="J131" t="s">
        <v>404</v>
      </c>
      <c r="K131" t="s">
        <v>4133</v>
      </c>
      <c r="L131" t="s">
        <v>64</v>
      </c>
      <c r="M131">
        <v>10</v>
      </c>
      <c r="N131" t="s">
        <v>2743</v>
      </c>
      <c r="O131" t="s">
        <v>2744</v>
      </c>
      <c r="Q131" t="s">
        <v>2745</v>
      </c>
      <c r="R131" t="s">
        <v>378</v>
      </c>
      <c r="S131" t="s">
        <v>94</v>
      </c>
      <c r="T131" t="s">
        <v>2746</v>
      </c>
      <c r="U131" t="s">
        <v>62</v>
      </c>
      <c r="V131">
        <v>2148710400</v>
      </c>
      <c r="W131" s="1">
        <v>16000000</v>
      </c>
      <c r="X131">
        <v>18</v>
      </c>
      <c r="Y131">
        <v>18</v>
      </c>
      <c r="AA131" t="s">
        <v>70</v>
      </c>
      <c r="AB131" t="s">
        <v>2747</v>
      </c>
      <c r="AC131" t="s">
        <v>145</v>
      </c>
      <c r="AD131" t="s">
        <v>1977</v>
      </c>
      <c r="AE131">
        <v>3731</v>
      </c>
      <c r="AF131" t="s">
        <v>1978</v>
      </c>
      <c r="AI131">
        <v>37319902</v>
      </c>
      <c r="AJ131" t="s">
        <v>1979</v>
      </c>
      <c r="AM131">
        <v>336611</v>
      </c>
      <c r="AN131" t="s">
        <v>1980</v>
      </c>
      <c r="AQ131" t="s">
        <v>75</v>
      </c>
      <c r="AT131" t="s">
        <v>76</v>
      </c>
      <c r="BF131">
        <v>0</v>
      </c>
      <c r="BG131">
        <v>0</v>
      </c>
      <c r="CK131" s="19">
        <f>IF(BQ131&gt;0,BQ131,W131)</f>
        <v>16000000</v>
      </c>
      <c r="CL131" s="20">
        <f>IF(BS131&gt;0,BS131,Y131)</f>
        <v>18</v>
      </c>
      <c r="CM131" s="34">
        <f>IF(CG131&gt;0,CG131,AM131)</f>
        <v>336611</v>
      </c>
      <c r="CN131" s="80">
        <f>IF($BH131="",1,COUNTIF($BH$3:$BH131,$BH131))</f>
        <v>1</v>
      </c>
      <c r="CP131" t="str">
        <f>IF($K131="Standard Match","Match",IF($K131="Name Only Match",IF($CO131="Yes","Match","Name Only Match"),"No Match"))</f>
        <v>Match</v>
      </c>
      <c r="CQ131" s="35" t="str">
        <f>IF(AND(CP131="Match",CK131&gt;0,CL131&gt;0),"Y","N")</f>
        <v>Y</v>
      </c>
      <c r="CS131" t="str">
        <f>IF($CQ131="Y",VLOOKUP($CM131,'SBA Size Standards'!$B$3:$G$57,MATCH('SBA Size Standards'!$G$3,'SBA Size Standards'!$B$3:$G$3,0),FALSE),"")</f>
        <v>Employment</v>
      </c>
      <c r="CT131" s="60" t="str">
        <f>IF(CQ131="Y",IF($CS131="Employment","N/A",VLOOKUP($CM131,'SBA Size Standards'!$B$3:$G$57,MATCH('SBA Size Standards'!$E$3,'SBA Size Standards'!$B$3:$G$3,0),FALSE)),"")</f>
        <v>N/A</v>
      </c>
      <c r="CU131" s="86">
        <f>IF($CQ131="Y",IF($CS131="Revenue","N/A",VLOOKUP($CM131,'SBA Size Standards'!$B$3:$G$57,MATCH('SBA Size Standards'!$F$3,'SBA Size Standards'!$B$3:$G$3,0),FALSE)),"")</f>
        <v>1250</v>
      </c>
      <c r="CV131" t="str">
        <f>IF($CQ131="Y",IF(OR(AND($CS131="Employment",$CL131&lt;$CU131),AND($CS131="Revenue",$CK131&lt;$CT131)),"YES","NO"),"")</f>
        <v>YES</v>
      </c>
      <c r="CW131" s="90" t="str">
        <f>IF($CQ131="Y",INDEX('SBA Size Standards'!$N$3:$N$12,MATCH($CK131,'SBA Size Standards'!$O$3:$O$12,1)),"")</f>
        <v>$5,000,001 - $100,000,000</v>
      </c>
      <c r="CX131" s="122" t="s">
        <v>4722</v>
      </c>
      <c r="CY131" s="122">
        <f>INDEX('NM O&amp;G Production'!$P$3:$P$537,MATCH(CX131,'NM O&amp;G Production'!$Q$3:$Q$537,0))</f>
        <v>397</v>
      </c>
      <c r="CZ131" s="122" t="str">
        <f>INDEX('NM O&amp;G Production'!$O$3:$O$537,MATCH(CY131,'NM O&amp;G Production'!$P$3:$P$537,0))</f>
        <v>Yes</v>
      </c>
      <c r="DA131" s="127">
        <f>INDEX('NM O&amp;G Production'!$K$3:$O$537,MATCH($CY131,'NM O&amp;G Production'!$P$3:$P$537,0),MATCH(DA$2,'NM O&amp;G Production'!$K$2:$O$2,0))</f>
        <v>0</v>
      </c>
      <c r="DB131" s="127">
        <f>INDEX('NM O&amp;G Production'!$K$3:$O$537,MATCH($CY131,'NM O&amp;G Production'!$P$3:$P$537,0),MATCH(DB$2,'NM O&amp;G Production'!$K$2:$O$2,0))</f>
        <v>1</v>
      </c>
      <c r="DC131" s="127">
        <f>DA131+DB131</f>
        <v>1</v>
      </c>
      <c r="DD131" s="127">
        <f>INDEX('NM O&amp;G Production'!$K$3:$O$537,MATCH($CY131,'NM O&amp;G Production'!$P$3:$P$537,0),MATCH(DD$2,'NM O&amp;G Production'!$K$2:$O$2,0))</f>
        <v>0</v>
      </c>
      <c r="DE131" s="127">
        <f>INDEX('NM O&amp;G Production'!$K$3:$O$537,MATCH($CY131,'NM O&amp;G Production'!$P$3:$P$537,0),MATCH(DE$2,'NM O&amp;G Production'!$K$2:$O$2,0))</f>
        <v>1</v>
      </c>
      <c r="DF131" s="258">
        <f>CK131/(DB131+DA131)</f>
        <v>16000000</v>
      </c>
      <c r="DG131" s="57">
        <f>DD131*(12/18)*1.06*'Oil and Gas Prices'!$C$18</f>
        <v>0</v>
      </c>
      <c r="DH131" s="284">
        <f>DE131*(12/18)*'Oil and Gas Prices'!$C$4</f>
        <v>30</v>
      </c>
      <c r="DI131" s="284">
        <f>DG131+DH131</f>
        <v>30</v>
      </c>
      <c r="DJ131" s="57">
        <f>(DG131+DH131)/(DA131+DB131)</f>
        <v>30</v>
      </c>
      <c r="DK131" s="318"/>
    </row>
    <row r="132" spans="1:115" x14ac:dyDescent="0.25">
      <c r="A132" t="s">
        <v>138</v>
      </c>
      <c r="B132" t="s">
        <v>139</v>
      </c>
      <c r="D132" t="s">
        <v>112</v>
      </c>
      <c r="E132" t="s">
        <v>80</v>
      </c>
      <c r="F132">
        <v>77063</v>
      </c>
      <c r="G132" t="s">
        <v>62</v>
      </c>
      <c r="I132">
        <v>11</v>
      </c>
      <c r="J132" t="s">
        <v>63</v>
      </c>
      <c r="K132" t="s">
        <v>4133</v>
      </c>
      <c r="L132" t="s">
        <v>64</v>
      </c>
      <c r="M132">
        <v>10</v>
      </c>
      <c r="N132" t="s">
        <v>140</v>
      </c>
      <c r="O132" t="s">
        <v>141</v>
      </c>
      <c r="Q132" t="s">
        <v>142</v>
      </c>
      <c r="R132" t="s">
        <v>112</v>
      </c>
      <c r="S132" t="s">
        <v>94</v>
      </c>
      <c r="T132" t="s">
        <v>143</v>
      </c>
      <c r="U132" t="s">
        <v>62</v>
      </c>
      <c r="V132">
        <v>7139849700</v>
      </c>
      <c r="W132" s="1">
        <v>13708113</v>
      </c>
      <c r="X132">
        <v>35</v>
      </c>
      <c r="Y132">
        <v>35</v>
      </c>
      <c r="Z132">
        <v>1998</v>
      </c>
      <c r="AA132" t="s">
        <v>70</v>
      </c>
      <c r="AB132" t="s">
        <v>144</v>
      </c>
      <c r="AC132" t="s">
        <v>145</v>
      </c>
      <c r="AD132" t="s">
        <v>119</v>
      </c>
      <c r="AE132">
        <v>1382</v>
      </c>
      <c r="AF132" t="s">
        <v>120</v>
      </c>
      <c r="AI132">
        <v>13820000</v>
      </c>
      <c r="AJ132" t="s">
        <v>119</v>
      </c>
      <c r="AM132">
        <v>213112</v>
      </c>
      <c r="AN132" t="s">
        <v>74</v>
      </c>
      <c r="AQ132" t="s">
        <v>75</v>
      </c>
      <c r="AT132" t="s">
        <v>76</v>
      </c>
      <c r="BF132">
        <v>0</v>
      </c>
      <c r="BG132">
        <v>0</v>
      </c>
      <c r="CK132" s="19">
        <f>IF(BQ132&gt;0,BQ132,W132)</f>
        <v>13708113</v>
      </c>
      <c r="CL132" s="20">
        <f>IF(BS132&gt;0,BS132,Y132)</f>
        <v>35</v>
      </c>
      <c r="CM132" s="34">
        <f>IF(CG132&gt;0,CG132,AM132)</f>
        <v>213112</v>
      </c>
      <c r="CN132" s="80">
        <f>IF($BH132="",1,COUNTIF($BH$3:$BH132,$BH132))</f>
        <v>1</v>
      </c>
      <c r="CP132" t="str">
        <f>IF($K132="Standard Match","Match",IF($K132="Name Only Match",IF($CO132="Yes","Match","Name Only Match"),"No Match"))</f>
        <v>Match</v>
      </c>
      <c r="CQ132" s="35" t="str">
        <f>IF(AND(CP132="Match",CK132&gt;0,CL132&gt;0),"Y","N")</f>
        <v>Y</v>
      </c>
      <c r="CS132" t="str">
        <f>IF($CQ132="Y",VLOOKUP($CM132,'SBA Size Standards'!$B$3:$G$57,MATCH('SBA Size Standards'!$G$3,'SBA Size Standards'!$B$3:$G$3,0),FALSE),"")</f>
        <v>Revenue</v>
      </c>
      <c r="CT132" s="60">
        <f>IF(CQ132="Y",IF($CS132="Employment","N/A",VLOOKUP($CM132,'SBA Size Standards'!$B$3:$G$57,MATCH('SBA Size Standards'!$E$3,'SBA Size Standards'!$B$3:$G$3,0),FALSE)),"")</f>
        <v>41500000</v>
      </c>
      <c r="CU132" s="86" t="str">
        <f>IF($CQ132="Y",IF($CS132="Revenue","N/A",VLOOKUP($CM132,'SBA Size Standards'!$B$3:$G$57,MATCH('SBA Size Standards'!$F$3,'SBA Size Standards'!$B$3:$G$3,0),FALSE)),"")</f>
        <v>N/A</v>
      </c>
      <c r="CV132" t="str">
        <f>IF($CQ132="Y",IF(OR(AND($CS132="Employment",$CL132&lt;$CU132),AND($CS132="Revenue",$CK132&lt;$CT132)),"YES","NO"),"")</f>
        <v>YES</v>
      </c>
      <c r="CW132" s="90" t="str">
        <f>IF($CQ132="Y",INDEX('SBA Size Standards'!$N$3:$N$12,MATCH($CK132,'SBA Size Standards'!$O$3:$O$12,1)),"")</f>
        <v>$5,000,001 - $100,000,000</v>
      </c>
      <c r="CX132" s="122" t="s">
        <v>4536</v>
      </c>
      <c r="CY132" s="122">
        <f>INDEX('NM O&amp;G Production'!$P$3:$P$537,MATCH(CX132,'NM O&amp;G Production'!$Q$3:$Q$537,0))</f>
        <v>11</v>
      </c>
      <c r="CZ132" s="122" t="str">
        <f>INDEX('NM O&amp;G Production'!$K$3:$O$537,MATCH($CY132,'NM O&amp;G Production'!$P$3:$P$537,0),MATCH(CZ$2,'NM O&amp;G Production'!$K$2:$O$2,0))</f>
        <v>Yes</v>
      </c>
      <c r="DA132" s="127">
        <f>INDEX('NM O&amp;G Production'!$K$3:$O$537,MATCH($CY132,'NM O&amp;G Production'!$P$3:$P$537,0),MATCH(DA$2,'NM O&amp;G Production'!$K$2:$O$2,0))</f>
        <v>9</v>
      </c>
      <c r="DB132" s="127">
        <f>INDEX('NM O&amp;G Production'!$K$3:$O$537,MATCH($CY132,'NM O&amp;G Production'!$P$3:$P$537,0),MATCH(DB$2,'NM O&amp;G Production'!$K$2:$O$2,0))</f>
        <v>6</v>
      </c>
      <c r="DC132" s="127">
        <f>DA132+DB132</f>
        <v>15</v>
      </c>
      <c r="DD132" s="127">
        <f>INDEX('NM O&amp;G Production'!$K$3:$O$537,MATCH($CY132,'NM O&amp;G Production'!$P$3:$P$537,0),MATCH(DD$2,'NM O&amp;G Production'!$K$2:$O$2,0))</f>
        <v>86425</v>
      </c>
      <c r="DE132" s="127">
        <f>INDEX('NM O&amp;G Production'!$K$3:$O$537,MATCH($CY132,'NM O&amp;G Production'!$P$3:$P$537,0),MATCH(DE$2,'NM O&amp;G Production'!$K$2:$O$2,0))</f>
        <v>69144</v>
      </c>
      <c r="DF132" s="258">
        <f>CK132/(DB132+DA132)</f>
        <v>913874.2</v>
      </c>
      <c r="DG132" s="57">
        <f>DD132*(12/18)*1.06*'Oil and Gas Prices'!$C$18</f>
        <v>145966.06333333332</v>
      </c>
      <c r="DH132" s="284">
        <f>DE132*(12/18)*'Oil and Gas Prices'!$C$4</f>
        <v>2074320</v>
      </c>
      <c r="DI132" s="284">
        <f>DG132+DH132</f>
        <v>2220286.0633333335</v>
      </c>
      <c r="DJ132" s="57">
        <f>(DG132+DH132)/(DA132+DB132)</f>
        <v>148019.07088888891</v>
      </c>
      <c r="DK132" s="318"/>
    </row>
    <row r="133" spans="1:115" x14ac:dyDescent="0.25">
      <c r="A133" t="s">
        <v>2907</v>
      </c>
      <c r="B133" t="s">
        <v>2908</v>
      </c>
      <c r="D133" t="s">
        <v>83</v>
      </c>
      <c r="E133" t="s">
        <v>84</v>
      </c>
      <c r="F133">
        <v>88210</v>
      </c>
      <c r="G133" t="s">
        <v>62</v>
      </c>
      <c r="I133">
        <v>423</v>
      </c>
      <c r="J133" t="s">
        <v>63</v>
      </c>
      <c r="K133" t="s">
        <v>4133</v>
      </c>
      <c r="L133" t="s">
        <v>279</v>
      </c>
      <c r="M133">
        <v>8</v>
      </c>
      <c r="N133" t="s">
        <v>2909</v>
      </c>
      <c r="O133" t="s">
        <v>2910</v>
      </c>
      <c r="Q133" t="s">
        <v>2911</v>
      </c>
      <c r="R133" t="s">
        <v>83</v>
      </c>
      <c r="S133" t="s">
        <v>214</v>
      </c>
      <c r="T133" t="s">
        <v>2912</v>
      </c>
      <c r="U133" t="s">
        <v>62</v>
      </c>
      <c r="V133">
        <v>5757363250</v>
      </c>
      <c r="W133" s="1">
        <v>13326982</v>
      </c>
      <c r="X133">
        <v>13</v>
      </c>
      <c r="Y133">
        <v>15</v>
      </c>
      <c r="Z133">
        <v>2009</v>
      </c>
      <c r="AA133" t="s">
        <v>163</v>
      </c>
      <c r="AB133" t="s">
        <v>2913</v>
      </c>
      <c r="AC133" t="s">
        <v>98</v>
      </c>
      <c r="AD133" t="s">
        <v>825</v>
      </c>
      <c r="AE133">
        <v>5172</v>
      </c>
      <c r="AF133" t="s">
        <v>826</v>
      </c>
      <c r="AG133">
        <v>1382</v>
      </c>
      <c r="AH133" t="s">
        <v>120</v>
      </c>
      <c r="AI133">
        <v>51720000</v>
      </c>
      <c r="AJ133" t="s">
        <v>825</v>
      </c>
      <c r="AK133">
        <v>13820000</v>
      </c>
      <c r="AL133" t="s">
        <v>119</v>
      </c>
      <c r="AM133">
        <v>424720</v>
      </c>
      <c r="AN133" t="s">
        <v>827</v>
      </c>
      <c r="AO133">
        <v>213112</v>
      </c>
      <c r="AP133" t="s">
        <v>74</v>
      </c>
      <c r="AQ133" t="s">
        <v>75</v>
      </c>
      <c r="AR133" t="s">
        <v>2909</v>
      </c>
      <c r="AS133" t="s">
        <v>2910</v>
      </c>
      <c r="AT133" t="s">
        <v>427</v>
      </c>
      <c r="AU133" t="s">
        <v>84</v>
      </c>
      <c r="AV133" t="s">
        <v>62</v>
      </c>
      <c r="AW133" t="s">
        <v>2909</v>
      </c>
      <c r="AX133" t="s">
        <v>2910</v>
      </c>
      <c r="AY133" t="s">
        <v>84</v>
      </c>
      <c r="AZ133" t="s">
        <v>62</v>
      </c>
      <c r="BE133" t="s">
        <v>62</v>
      </c>
      <c r="BF133">
        <v>1</v>
      </c>
      <c r="BG133">
        <v>2</v>
      </c>
      <c r="BH133" s="4" t="s">
        <v>2909</v>
      </c>
      <c r="BI133" s="4" t="s">
        <v>2910</v>
      </c>
      <c r="BK133" s="4" t="s">
        <v>2911</v>
      </c>
      <c r="BL133" s="4" t="s">
        <v>83</v>
      </c>
      <c r="BM133" s="4" t="s">
        <v>214</v>
      </c>
      <c r="BN133" s="4" t="s">
        <v>2912</v>
      </c>
      <c r="BO133" s="4" t="s">
        <v>62</v>
      </c>
      <c r="BP133" s="4">
        <v>5757363250</v>
      </c>
      <c r="BQ133" s="5">
        <v>13326982</v>
      </c>
      <c r="BR133" s="4">
        <v>13</v>
      </c>
      <c r="BS133" s="4">
        <v>15</v>
      </c>
      <c r="BT133" s="4">
        <v>2009</v>
      </c>
      <c r="BU133" s="4" t="s">
        <v>163</v>
      </c>
      <c r="BV133" s="4" t="s">
        <v>2913</v>
      </c>
      <c r="BW133" s="4" t="s">
        <v>98</v>
      </c>
      <c r="BX133" s="4" t="s">
        <v>825</v>
      </c>
      <c r="BY133" s="4">
        <v>5172</v>
      </c>
      <c r="BZ133" s="4" t="s">
        <v>826</v>
      </c>
      <c r="CA133" s="4">
        <v>1382</v>
      </c>
      <c r="CB133" s="4" t="s">
        <v>120</v>
      </c>
      <c r="CC133" s="4">
        <v>51720000</v>
      </c>
      <c r="CD133" s="4" t="s">
        <v>825</v>
      </c>
      <c r="CE133" s="4">
        <v>13820000</v>
      </c>
      <c r="CF133" s="4" t="s">
        <v>119</v>
      </c>
      <c r="CG133" s="4">
        <v>424720</v>
      </c>
      <c r="CH133" s="4" t="s">
        <v>827</v>
      </c>
      <c r="CI133" s="4">
        <v>213112</v>
      </c>
      <c r="CJ133" s="4" t="s">
        <v>74</v>
      </c>
      <c r="CK133" s="19">
        <f>IF(BQ133&gt;0,BQ133,W133)</f>
        <v>13326982</v>
      </c>
      <c r="CL133" s="20">
        <f>IF(BS133&gt;0,BS133,Y133)</f>
        <v>15</v>
      </c>
      <c r="CM133" s="34">
        <f>IF(CG133&gt;0,CG133,AM133)</f>
        <v>424720</v>
      </c>
      <c r="CN133" s="80">
        <f>IF($BH133="",1,COUNTIF($BH$3:$BH133,$BH133))</f>
        <v>1</v>
      </c>
      <c r="CP133" t="str">
        <f>IF($K133="Standard Match","Match",IF($K133="Name Only Match",IF($CO133="Yes","Match","Name Only Match"),"No Match"))</f>
        <v>Match</v>
      </c>
      <c r="CQ133" s="35" t="str">
        <f>IF(AND(CP133="Match",CK133&gt;0,CL133&gt;0),"Y","N")</f>
        <v>Y</v>
      </c>
      <c r="CS133" t="str">
        <f>IF($CQ133="Y",VLOOKUP($CM133,'SBA Size Standards'!$B$3:$G$57,MATCH('SBA Size Standards'!$G$3,'SBA Size Standards'!$B$3:$G$3,0),FALSE),"")</f>
        <v>Employment</v>
      </c>
      <c r="CT133" s="60" t="str">
        <f>IF(CQ133="Y",IF($CS133="Employment","N/A",VLOOKUP($CM133,'SBA Size Standards'!$B$3:$G$57,MATCH('SBA Size Standards'!$E$3,'SBA Size Standards'!$B$3:$G$3,0),FALSE)),"")</f>
        <v>N/A</v>
      </c>
      <c r="CU133" s="86">
        <f>IF($CQ133="Y",IF($CS133="Revenue","N/A",VLOOKUP($CM133,'SBA Size Standards'!$B$3:$G$57,MATCH('SBA Size Standards'!$F$3,'SBA Size Standards'!$B$3:$G$3,0),FALSE)),"")</f>
        <v>200</v>
      </c>
      <c r="CV133" t="str">
        <f>IF($CQ133="Y",IF(OR(AND($CS133="Employment",$CL133&lt;$CU133),AND($CS133="Revenue",$CK133&lt;$CT133)),"YES","NO"),"")</f>
        <v>YES</v>
      </c>
      <c r="CW133" s="90" t="str">
        <f>IF($CQ133="Y",INDEX('SBA Size Standards'!$N$3:$N$12,MATCH($CK133,'SBA Size Standards'!$O$3:$O$12,1)),"")</f>
        <v>$5,000,001 - $100,000,000</v>
      </c>
      <c r="CX133" s="122" t="s">
        <v>4899</v>
      </c>
      <c r="CY133" s="122">
        <f>INDEX('NM O&amp;G Production'!$P$3:$P$537,MATCH(CX133,'NM O&amp;G Production'!$Q$3:$Q$537,0))</f>
        <v>423</v>
      </c>
      <c r="CZ133" s="122" t="str">
        <f>INDEX('NM O&amp;G Production'!$O$3:$O$537,MATCH(CY133,'NM O&amp;G Production'!$P$3:$P$537,0))</f>
        <v>Yes</v>
      </c>
      <c r="DA133" s="127">
        <f>INDEX('NM O&amp;G Production'!$K$3:$O$537,MATCH($CY133,'NM O&amp;G Production'!$P$3:$P$537,0),MATCH(DA$2,'NM O&amp;G Production'!$K$2:$O$2,0))</f>
        <v>1</v>
      </c>
      <c r="DB133" s="127">
        <f>INDEX('NM O&amp;G Production'!$K$3:$O$537,MATCH($CY133,'NM O&amp;G Production'!$P$3:$P$537,0),MATCH(DB$2,'NM O&amp;G Production'!$K$2:$O$2,0))</f>
        <v>0</v>
      </c>
      <c r="DC133" s="127">
        <f>DA133+DB133</f>
        <v>1</v>
      </c>
      <c r="DD133" s="127">
        <f>INDEX('NM O&amp;G Production'!$K$3:$O$537,MATCH($CY133,'NM O&amp;G Production'!$P$3:$P$537,0),MATCH(DD$2,'NM O&amp;G Production'!$K$2:$O$2,0))</f>
        <v>156328</v>
      </c>
      <c r="DE133" s="127">
        <f>INDEX('NM O&amp;G Production'!$K$3:$O$537,MATCH($CY133,'NM O&amp;G Production'!$P$3:$P$537,0),MATCH(DE$2,'NM O&amp;G Production'!$K$2:$O$2,0))</f>
        <v>103680</v>
      </c>
      <c r="DF133" s="258">
        <f>CK133/(DB133+DA133)</f>
        <v>13326982</v>
      </c>
      <c r="DG133" s="57">
        <f>DD133*(12/18)*1.06*'Oil and Gas Prices'!$C$18</f>
        <v>264027.57013333333</v>
      </c>
      <c r="DH133" s="284">
        <f>DE133*(12/18)*'Oil and Gas Prices'!$C$4</f>
        <v>3110400</v>
      </c>
      <c r="DI133" s="284">
        <f>DG133+DH133</f>
        <v>3374427.5701333331</v>
      </c>
      <c r="DJ133" s="57">
        <f>(DG133+DH133)/(DA133+DB133)</f>
        <v>3374427.5701333331</v>
      </c>
      <c r="DK133" s="318"/>
    </row>
    <row r="134" spans="1:115" x14ac:dyDescent="0.25">
      <c r="A134" s="21" t="s">
        <v>2710</v>
      </c>
      <c r="B134" s="21" t="s">
        <v>1191</v>
      </c>
      <c r="C134" s="21"/>
      <c r="D134" s="21" t="s">
        <v>112</v>
      </c>
      <c r="E134" s="21" t="s">
        <v>80</v>
      </c>
      <c r="F134">
        <v>77079</v>
      </c>
      <c r="G134" t="s">
        <v>62</v>
      </c>
      <c r="I134">
        <v>392</v>
      </c>
      <c r="J134" t="s">
        <v>63</v>
      </c>
      <c r="K134" t="s">
        <v>4134</v>
      </c>
      <c r="L134" t="s">
        <v>3627</v>
      </c>
      <c r="M134">
        <v>8</v>
      </c>
      <c r="N134" t="s">
        <v>3713</v>
      </c>
      <c r="O134" s="21" t="s">
        <v>3714</v>
      </c>
      <c r="P134" s="21" t="s">
        <v>3715</v>
      </c>
      <c r="Q134" s="21" t="s">
        <v>3716</v>
      </c>
      <c r="R134" s="21" t="s">
        <v>112</v>
      </c>
      <c r="S134" s="21" t="s">
        <v>94</v>
      </c>
      <c r="T134" t="s">
        <v>3717</v>
      </c>
      <c r="U134" t="s">
        <v>62</v>
      </c>
      <c r="V134">
        <v>8324858500</v>
      </c>
      <c r="W134" s="23">
        <v>452119</v>
      </c>
      <c r="X134" s="21">
        <v>3</v>
      </c>
      <c r="Y134" s="21">
        <v>3</v>
      </c>
      <c r="Z134">
        <v>1994</v>
      </c>
      <c r="AA134" s="21" t="s">
        <v>70</v>
      </c>
      <c r="AB134" t="s">
        <v>3718</v>
      </c>
      <c r="AC134" t="s">
        <v>98</v>
      </c>
      <c r="AD134" s="21" t="s">
        <v>119</v>
      </c>
      <c r="AE134">
        <v>1382</v>
      </c>
      <c r="AF134" t="s">
        <v>120</v>
      </c>
      <c r="AI134">
        <v>13820000</v>
      </c>
      <c r="AJ134" t="s">
        <v>119</v>
      </c>
      <c r="AM134" s="21">
        <v>213112</v>
      </c>
      <c r="AN134" s="21" t="s">
        <v>74</v>
      </c>
      <c r="AO134" s="21"/>
      <c r="AP134" s="21"/>
      <c r="AQ134" s="21" t="s">
        <v>168</v>
      </c>
      <c r="AR134" t="s">
        <v>3719</v>
      </c>
      <c r="AS134" t="s">
        <v>3720</v>
      </c>
      <c r="AT134" t="s">
        <v>76</v>
      </c>
      <c r="AU134" t="s">
        <v>80</v>
      </c>
      <c r="AV134" t="s">
        <v>62</v>
      </c>
      <c r="AW134" t="s">
        <v>3719</v>
      </c>
      <c r="AX134" t="s">
        <v>3720</v>
      </c>
      <c r="AY134" t="s">
        <v>80</v>
      </c>
      <c r="AZ134" t="s">
        <v>62</v>
      </c>
      <c r="BA134" t="s">
        <v>3721</v>
      </c>
      <c r="BC134" t="s">
        <v>3722</v>
      </c>
      <c r="BD134" t="s">
        <v>265</v>
      </c>
      <c r="BE134" t="s">
        <v>62</v>
      </c>
      <c r="BF134">
        <v>3</v>
      </c>
      <c r="BG134" s="24">
        <v>8</v>
      </c>
      <c r="BH134" s="24" t="s">
        <v>3719</v>
      </c>
      <c r="BI134" s="24" t="s">
        <v>3720</v>
      </c>
      <c r="BJ134" s="24"/>
      <c r="BK134" s="24" t="s">
        <v>1194</v>
      </c>
      <c r="BL134" s="24" t="s">
        <v>112</v>
      </c>
      <c r="BM134" s="24" t="s">
        <v>94</v>
      </c>
      <c r="BN134" s="24" t="s">
        <v>1195</v>
      </c>
      <c r="BO134" s="24" t="s">
        <v>62</v>
      </c>
      <c r="BP134" s="4">
        <v>7132211768</v>
      </c>
      <c r="BQ134" s="25">
        <v>12972000</v>
      </c>
      <c r="BR134" s="24">
        <v>6</v>
      </c>
      <c r="BS134" s="24">
        <v>6</v>
      </c>
      <c r="BT134" s="4">
        <v>2000</v>
      </c>
      <c r="BU134" s="24" t="s">
        <v>163</v>
      </c>
      <c r="BV134" s="4" t="s">
        <v>4331</v>
      </c>
      <c r="BW134" s="4" t="s">
        <v>133</v>
      </c>
      <c r="BX134" s="24" t="s">
        <v>99</v>
      </c>
      <c r="BY134" s="4">
        <v>1311</v>
      </c>
      <c r="BZ134" s="4" t="s">
        <v>100</v>
      </c>
      <c r="CC134" s="4">
        <v>13110000</v>
      </c>
      <c r="CD134" s="4" t="s">
        <v>276</v>
      </c>
      <c r="CG134" s="24">
        <v>211120</v>
      </c>
      <c r="CH134" s="24" t="s">
        <v>104</v>
      </c>
      <c r="CI134" s="24"/>
      <c r="CJ134" s="24"/>
      <c r="CK134" s="19">
        <f>IF(BQ134&gt;0,BQ134,W134)</f>
        <v>12972000</v>
      </c>
      <c r="CL134" s="20">
        <f>IF(BS134&gt;0,BS134,Y134)</f>
        <v>6</v>
      </c>
      <c r="CM134" s="34">
        <f>IF(CG134&gt;0,CG134,AM134)</f>
        <v>211120</v>
      </c>
      <c r="CN134" s="80">
        <f>IF($BH134="",1,COUNTIF($BH$3:$BH134,$BH134))</f>
        <v>1</v>
      </c>
      <c r="CO134" s="33" t="s">
        <v>4386</v>
      </c>
      <c r="CP134" t="str">
        <f>IF($K134="Standard Match","Match",IF($K134="Name Only Match",IF($CO134="Yes","Match","Name Only Match"),"No Match"))</f>
        <v>Match</v>
      </c>
      <c r="CQ134" s="35" t="str">
        <f>IF(AND(CP134="Match",CK134&gt;0,CL134&gt;0),"Y","N")</f>
        <v>Y</v>
      </c>
      <c r="CR134" s="21"/>
      <c r="CS134" t="str">
        <f>IF($CQ134="Y",VLOOKUP($CM134,'SBA Size Standards'!$B$3:$G$57,MATCH('SBA Size Standards'!$G$3,'SBA Size Standards'!$B$3:$G$3,0),FALSE),"")</f>
        <v>Employment</v>
      </c>
      <c r="CT134" s="60" t="str">
        <f>IF(CQ134="Y",IF($CS134="Employment","N/A",VLOOKUP($CM134,'SBA Size Standards'!$B$3:$G$57,MATCH('SBA Size Standards'!$E$3,'SBA Size Standards'!$B$3:$G$3,0),FALSE)),"")</f>
        <v>N/A</v>
      </c>
      <c r="CU134" s="86">
        <f>IF($CQ134="Y",IF($CS134="Revenue","N/A",VLOOKUP($CM134,'SBA Size Standards'!$B$3:$G$57,MATCH('SBA Size Standards'!$F$3,'SBA Size Standards'!$B$3:$G$3,0),FALSE)),"")</f>
        <v>1250</v>
      </c>
      <c r="CV134" t="str">
        <f>IF($CQ134="Y",IF(OR(AND($CS134="Employment",$CL134&lt;$CU134),AND($CS134="Revenue",$CK134&lt;$CT134)),"YES","NO"),"")</f>
        <v>YES</v>
      </c>
      <c r="CW134" s="90" t="str">
        <f>IF($CQ134="Y",INDEX('SBA Size Standards'!$N$3:$N$12,MATCH($CK134,'SBA Size Standards'!$O$3:$O$12,1)),"")</f>
        <v>$5,000,001 - $100,000,000</v>
      </c>
      <c r="CX134" s="122" t="s">
        <v>4991</v>
      </c>
      <c r="CY134" s="122">
        <f>INDEX('NM O&amp;G Production'!$P$3:$P$537,MATCH(CX134,'NM O&amp;G Production'!$Q$3:$Q$537,0))</f>
        <v>392</v>
      </c>
      <c r="CZ134" s="122" t="str">
        <f>INDEX('NM O&amp;G Production'!$O$3:$O$537,MATCH(CY134,'NM O&amp;G Production'!$P$3:$P$537,0))</f>
        <v>Yes</v>
      </c>
      <c r="DA134" s="127">
        <f>INDEX('NM O&amp;G Production'!$K$3:$O$537,MATCH($CY134,'NM O&amp;G Production'!$P$3:$P$537,0),MATCH(DA$2,'NM O&amp;G Production'!$K$2:$O$2,0))</f>
        <v>11</v>
      </c>
      <c r="DB134" s="127">
        <f>INDEX('NM O&amp;G Production'!$K$3:$O$537,MATCH($CY134,'NM O&amp;G Production'!$P$3:$P$537,0),MATCH(DB$2,'NM O&amp;G Production'!$K$2:$O$2,0))</f>
        <v>47</v>
      </c>
      <c r="DC134" s="127">
        <f>DA134+DB134</f>
        <v>58</v>
      </c>
      <c r="DD134" s="127">
        <f>INDEX('NM O&amp;G Production'!$K$3:$O$537,MATCH($CY134,'NM O&amp;G Production'!$P$3:$P$537,0),MATCH(DD$2,'NM O&amp;G Production'!$K$2:$O$2,0))</f>
        <v>187855</v>
      </c>
      <c r="DE134" s="127">
        <f>INDEX('NM O&amp;G Production'!$K$3:$O$537,MATCH($CY134,'NM O&amp;G Production'!$P$3:$P$537,0),MATCH(DE$2,'NM O&amp;G Production'!$K$2:$O$2,0))</f>
        <v>218944</v>
      </c>
      <c r="DF134" s="258">
        <f>CK134/(DB134+DA134)</f>
        <v>223655.1724137931</v>
      </c>
      <c r="DG134" s="57">
        <f>DD134*(12/18)*1.06*'Oil and Gas Prices'!$C$18</f>
        <v>317274.57133333333</v>
      </c>
      <c r="DH134" s="284">
        <f>DE134*(12/18)*'Oil and Gas Prices'!$C$4</f>
        <v>6568320</v>
      </c>
      <c r="DI134" s="284">
        <f>DG134+DH134</f>
        <v>6885594.5713333329</v>
      </c>
      <c r="DJ134" s="57">
        <f>(DG134+DH134)/(DA134+DB134)</f>
        <v>118717.14778160919</v>
      </c>
      <c r="DK134" s="319"/>
    </row>
    <row r="135" spans="1:115" x14ac:dyDescent="0.25">
      <c r="A135" s="21" t="s">
        <v>828</v>
      </c>
      <c r="B135" s="21" t="s">
        <v>829</v>
      </c>
      <c r="C135" s="21"/>
      <c r="D135" s="21" t="s">
        <v>830</v>
      </c>
      <c r="E135" s="21" t="s">
        <v>80</v>
      </c>
      <c r="F135">
        <v>75244</v>
      </c>
      <c r="G135" t="s">
        <v>62</v>
      </c>
      <c r="I135">
        <v>105</v>
      </c>
      <c r="J135" t="s">
        <v>63</v>
      </c>
      <c r="K135" t="s">
        <v>4134</v>
      </c>
      <c r="L135" t="s">
        <v>3627</v>
      </c>
      <c r="M135">
        <v>8</v>
      </c>
      <c r="N135" t="s">
        <v>3648</v>
      </c>
      <c r="O135" s="21" t="s">
        <v>3649</v>
      </c>
      <c r="P135" s="21"/>
      <c r="Q135" s="21" t="s">
        <v>3650</v>
      </c>
      <c r="R135" s="21" t="s">
        <v>378</v>
      </c>
      <c r="S135" s="21" t="s">
        <v>94</v>
      </c>
      <c r="T135" t="s">
        <v>3651</v>
      </c>
      <c r="U135" t="s">
        <v>62</v>
      </c>
      <c r="V135">
        <v>2102266700</v>
      </c>
      <c r="W135" s="23">
        <v>12352299</v>
      </c>
      <c r="X135" s="21">
        <v>2</v>
      </c>
      <c r="Y135" s="21">
        <v>2</v>
      </c>
      <c r="Z135">
        <v>2008</v>
      </c>
      <c r="AA135" s="21" t="s">
        <v>70</v>
      </c>
      <c r="AB135" t="s">
        <v>2747</v>
      </c>
      <c r="AC135" t="s">
        <v>165</v>
      </c>
      <c r="AD135" s="21" t="s">
        <v>99</v>
      </c>
      <c r="AE135">
        <v>1311</v>
      </c>
      <c r="AF135" t="s">
        <v>100</v>
      </c>
      <c r="AI135">
        <v>13110101</v>
      </c>
      <c r="AJ135" t="s">
        <v>102</v>
      </c>
      <c r="AM135" s="21">
        <v>211120</v>
      </c>
      <c r="AN135" s="21" t="s">
        <v>104</v>
      </c>
      <c r="AO135" s="21"/>
      <c r="AP135" s="21"/>
      <c r="AQ135" s="21" t="s">
        <v>168</v>
      </c>
      <c r="AR135" t="s">
        <v>3652</v>
      </c>
      <c r="AS135" t="s">
        <v>3653</v>
      </c>
      <c r="AT135" t="s">
        <v>76</v>
      </c>
      <c r="AU135" t="s">
        <v>80</v>
      </c>
      <c r="AV135" t="s">
        <v>62</v>
      </c>
      <c r="AW135" t="s">
        <v>3652</v>
      </c>
      <c r="AX135" t="s">
        <v>3653</v>
      </c>
      <c r="AY135" t="s">
        <v>80</v>
      </c>
      <c r="AZ135" t="s">
        <v>62</v>
      </c>
      <c r="BA135" t="s">
        <v>3652</v>
      </c>
      <c r="BC135" t="s">
        <v>3653</v>
      </c>
      <c r="BD135" t="s">
        <v>80</v>
      </c>
      <c r="BE135" t="s">
        <v>62</v>
      </c>
      <c r="BF135">
        <v>2</v>
      </c>
      <c r="BG135" s="24">
        <v>2</v>
      </c>
      <c r="BH135" s="24" t="s">
        <v>3652</v>
      </c>
      <c r="BI135" s="24" t="s">
        <v>3653</v>
      </c>
      <c r="BJ135" s="24"/>
      <c r="BK135" s="24" t="s">
        <v>3650</v>
      </c>
      <c r="BL135" s="24" t="s">
        <v>378</v>
      </c>
      <c r="BM135" s="24" t="s">
        <v>94</v>
      </c>
      <c r="BN135" s="24" t="s">
        <v>3651</v>
      </c>
      <c r="BO135" s="24" t="s">
        <v>62</v>
      </c>
      <c r="BP135" s="4">
        <v>2148710400</v>
      </c>
      <c r="BQ135" s="25">
        <v>12738000</v>
      </c>
      <c r="BR135" s="24">
        <v>26</v>
      </c>
      <c r="BS135" s="24">
        <v>26</v>
      </c>
      <c r="BT135" s="4">
        <v>2011</v>
      </c>
      <c r="BU135" s="24" t="s">
        <v>163</v>
      </c>
      <c r="BV135" s="4" t="s">
        <v>2747</v>
      </c>
      <c r="BW135" s="4" t="s">
        <v>98</v>
      </c>
      <c r="BX135" s="24" t="s">
        <v>99</v>
      </c>
      <c r="BY135" s="4">
        <v>1311</v>
      </c>
      <c r="BZ135" s="4" t="s">
        <v>100</v>
      </c>
      <c r="CC135" s="4">
        <v>13110101</v>
      </c>
      <c r="CD135" s="4" t="s">
        <v>102</v>
      </c>
      <c r="CG135" s="24">
        <v>211120</v>
      </c>
      <c r="CH135" s="24" t="s">
        <v>104</v>
      </c>
      <c r="CI135" s="24"/>
      <c r="CJ135" s="24"/>
      <c r="CK135" s="19">
        <f>IF(BQ135&gt;0,BQ135,W135)</f>
        <v>12738000</v>
      </c>
      <c r="CL135" s="20">
        <f>IF(BS135&gt;0,BS135,Y135)</f>
        <v>26</v>
      </c>
      <c r="CM135" s="34">
        <f>IF(CG135&gt;0,CG135,AM135)</f>
        <v>211120</v>
      </c>
      <c r="CN135" s="80">
        <f>IF($BH135="",1,COUNTIF($BH$3:$BH135,$BH135))</f>
        <v>1</v>
      </c>
      <c r="CO135" s="33" t="s">
        <v>4386</v>
      </c>
      <c r="CP135" t="str">
        <f>IF($K135="Standard Match","Match",IF($K135="Name Only Match",IF($CO135="Yes","Match","Name Only Match"),"No Match"))</f>
        <v>Match</v>
      </c>
      <c r="CQ135" s="35" t="str">
        <f>IF(AND(CP135="Match",CK135&gt;0,CL135&gt;0),"Y","N")</f>
        <v>Y</v>
      </c>
      <c r="CR135" s="21"/>
      <c r="CS135" t="str">
        <f>IF($CQ135="Y",VLOOKUP($CM135,'SBA Size Standards'!$B$3:$G$57,MATCH('SBA Size Standards'!$G$3,'SBA Size Standards'!$B$3:$G$3,0),FALSE),"")</f>
        <v>Employment</v>
      </c>
      <c r="CT135" s="60" t="str">
        <f>IF(CQ135="Y",IF($CS135="Employment","N/A",VLOOKUP($CM135,'SBA Size Standards'!$B$3:$G$57,MATCH('SBA Size Standards'!$E$3,'SBA Size Standards'!$B$3:$G$3,0),FALSE)),"")</f>
        <v>N/A</v>
      </c>
      <c r="CU135" s="86">
        <f>IF($CQ135="Y",IF($CS135="Revenue","N/A",VLOOKUP($CM135,'SBA Size Standards'!$B$3:$G$57,MATCH('SBA Size Standards'!$F$3,'SBA Size Standards'!$B$3:$G$3,0),FALSE)),"")</f>
        <v>1250</v>
      </c>
      <c r="CV135" t="str">
        <f>IF($CQ135="Y",IF(OR(AND($CS135="Employment",$CL135&lt;$CU135),AND($CS135="Revenue",$CK135&lt;$CT135)),"YES","NO"),"")</f>
        <v>YES</v>
      </c>
      <c r="CW135" s="90" t="str">
        <f>IF($CQ135="Y",INDEX('SBA Size Standards'!$N$3:$N$12,MATCH($CK135,'SBA Size Standards'!$O$3:$O$12,1)),"")</f>
        <v>$5,000,001 - $100,000,000</v>
      </c>
      <c r="CX135" s="122" t="s">
        <v>4947</v>
      </c>
      <c r="CY135" s="122">
        <f>INDEX('NM O&amp;G Production'!$P$3:$P$537,MATCH(CX135,'NM O&amp;G Production'!$Q$3:$Q$537,0))</f>
        <v>105</v>
      </c>
      <c r="CZ135" s="122" t="str">
        <f>INDEX('NM O&amp;G Production'!$O$3:$O$537,MATCH(CY135,'NM O&amp;G Production'!$P$3:$P$537,0))</f>
        <v>Yes</v>
      </c>
      <c r="DA135" s="127">
        <f>INDEX('NM O&amp;G Production'!$K$3:$O$537,MATCH($CY135,'NM O&amp;G Production'!$P$3:$P$537,0),MATCH(DA$2,'NM O&amp;G Production'!$K$2:$O$2,0))</f>
        <v>1</v>
      </c>
      <c r="DB135" s="127">
        <f>INDEX('NM O&amp;G Production'!$K$3:$O$537,MATCH($CY135,'NM O&amp;G Production'!$P$3:$P$537,0),MATCH(DB$2,'NM O&amp;G Production'!$K$2:$O$2,0))</f>
        <v>46</v>
      </c>
      <c r="DC135" s="127">
        <f>DA135+DB135</f>
        <v>47</v>
      </c>
      <c r="DD135" s="127">
        <f>INDEX('NM O&amp;G Production'!$K$3:$O$537,MATCH($CY135,'NM O&amp;G Production'!$P$3:$P$537,0),MATCH(DD$2,'NM O&amp;G Production'!$K$2:$O$2,0))</f>
        <v>0</v>
      </c>
      <c r="DE135" s="127">
        <f>INDEX('NM O&amp;G Production'!$K$3:$O$537,MATCH($CY135,'NM O&amp;G Production'!$P$3:$P$537,0),MATCH(DE$2,'NM O&amp;G Production'!$K$2:$O$2,0))</f>
        <v>7455</v>
      </c>
      <c r="DF135" s="258">
        <f>CK135/(DB135+DA135)</f>
        <v>271021.27659574465</v>
      </c>
      <c r="DG135" s="57">
        <f>DD135*(12/18)*1.06*'Oil and Gas Prices'!$C$18</f>
        <v>0</v>
      </c>
      <c r="DH135" s="284">
        <f>DE135*(12/18)*'Oil and Gas Prices'!$C$4</f>
        <v>223650</v>
      </c>
      <c r="DI135" s="284">
        <f>DG135+DH135</f>
        <v>223650</v>
      </c>
      <c r="DJ135" s="57">
        <f>(DG135+DH135)/(DA135+DB135)</f>
        <v>4758.510638297872</v>
      </c>
      <c r="DK135" s="319"/>
    </row>
    <row r="136" spans="1:115" x14ac:dyDescent="0.25">
      <c r="A136" t="s">
        <v>2411</v>
      </c>
      <c r="B136" t="s">
        <v>2412</v>
      </c>
      <c r="D136" t="s">
        <v>532</v>
      </c>
      <c r="E136" t="s">
        <v>80</v>
      </c>
      <c r="F136">
        <v>78217</v>
      </c>
      <c r="G136" t="s">
        <v>62</v>
      </c>
      <c r="I136">
        <v>344</v>
      </c>
      <c r="J136" t="s">
        <v>63</v>
      </c>
      <c r="K136" t="s">
        <v>4133</v>
      </c>
      <c r="L136" t="s">
        <v>149</v>
      </c>
      <c r="M136">
        <v>10</v>
      </c>
      <c r="N136" t="s">
        <v>2413</v>
      </c>
      <c r="O136" t="s">
        <v>2414</v>
      </c>
      <c r="Q136" t="s">
        <v>2415</v>
      </c>
      <c r="R136" t="s">
        <v>532</v>
      </c>
      <c r="S136" t="s">
        <v>94</v>
      </c>
      <c r="T136" t="s">
        <v>2416</v>
      </c>
      <c r="U136" t="s">
        <v>62</v>
      </c>
      <c r="V136">
        <v>2108260700</v>
      </c>
      <c r="W136" s="1">
        <v>11988999</v>
      </c>
      <c r="X136">
        <v>40</v>
      </c>
      <c r="Y136">
        <v>40</v>
      </c>
      <c r="Z136">
        <v>1997</v>
      </c>
      <c r="AA136" t="s">
        <v>70</v>
      </c>
      <c r="AB136" t="s">
        <v>2417</v>
      </c>
      <c r="AC136" t="s">
        <v>231</v>
      </c>
      <c r="AD136" t="s">
        <v>119</v>
      </c>
      <c r="AE136">
        <v>1382</v>
      </c>
      <c r="AF136" t="s">
        <v>120</v>
      </c>
      <c r="AG136">
        <v>1311</v>
      </c>
      <c r="AH136" t="s">
        <v>100</v>
      </c>
      <c r="AI136">
        <v>13820000</v>
      </c>
      <c r="AJ136" t="s">
        <v>119</v>
      </c>
      <c r="AK136">
        <v>13110101</v>
      </c>
      <c r="AL136" t="s">
        <v>102</v>
      </c>
      <c r="AM136">
        <v>213112</v>
      </c>
      <c r="AN136" t="s">
        <v>74</v>
      </c>
      <c r="AO136">
        <v>211120</v>
      </c>
      <c r="AP136" t="s">
        <v>104</v>
      </c>
      <c r="AQ136" t="s">
        <v>75</v>
      </c>
      <c r="AT136" t="s">
        <v>76</v>
      </c>
      <c r="BF136">
        <v>0</v>
      </c>
      <c r="BG136">
        <v>0</v>
      </c>
      <c r="CK136" s="19">
        <f>IF(BQ136&gt;0,BQ136,W136)</f>
        <v>11988999</v>
      </c>
      <c r="CL136" s="20">
        <f>IF(BS136&gt;0,BS136,Y136)</f>
        <v>40</v>
      </c>
      <c r="CM136" s="34">
        <f>IF(CG136&gt;0,CG136,AM136)</f>
        <v>213112</v>
      </c>
      <c r="CN136" s="80">
        <f>IF($BH136="",1,COUNTIF($BH$3:$BH136,$BH136))</f>
        <v>1</v>
      </c>
      <c r="CP136" t="str">
        <f>IF($K136="Standard Match","Match",IF($K136="Name Only Match",IF($CO136="Yes","Match","Name Only Match"),"No Match"))</f>
        <v>Match</v>
      </c>
      <c r="CQ136" s="35" t="str">
        <f>IF(AND(CP136="Match",CK136&gt;0,CL136&gt;0),"Y","N")</f>
        <v>Y</v>
      </c>
      <c r="CS136" t="str">
        <f>IF($CQ136="Y",VLOOKUP($CM136,'SBA Size Standards'!$B$3:$G$57,MATCH('SBA Size Standards'!$G$3,'SBA Size Standards'!$B$3:$G$3,0),FALSE),"")</f>
        <v>Revenue</v>
      </c>
      <c r="CT136" s="60">
        <f>IF(CQ136="Y",IF($CS136="Employment","N/A",VLOOKUP($CM136,'SBA Size Standards'!$B$3:$G$57,MATCH('SBA Size Standards'!$E$3,'SBA Size Standards'!$B$3:$G$3,0),FALSE)),"")</f>
        <v>41500000</v>
      </c>
      <c r="CU136" s="86" t="str">
        <f>IF($CQ136="Y",IF($CS136="Revenue","N/A",VLOOKUP($CM136,'SBA Size Standards'!$B$3:$G$57,MATCH('SBA Size Standards'!$F$3,'SBA Size Standards'!$B$3:$G$3,0),FALSE)),"")</f>
        <v>N/A</v>
      </c>
      <c r="CV136" t="str">
        <f>IF($CQ136="Y",IF(OR(AND($CS136="Employment",$CL136&lt;$CU136),AND($CS136="Revenue",$CK136&lt;$CT136)),"YES","NO"),"")</f>
        <v>YES</v>
      </c>
      <c r="CW136" s="90" t="str">
        <f>IF($CQ136="Y",INDEX('SBA Size Standards'!$N$3:$N$12,MATCH($CK136,'SBA Size Standards'!$O$3:$O$12,1)),"")</f>
        <v>$5,000,001 - $100,000,000</v>
      </c>
      <c r="CX136" s="122" t="s">
        <v>4693</v>
      </c>
      <c r="CY136" s="122">
        <f>INDEX('NM O&amp;G Production'!$P$3:$P$537,MATCH(CX136,'NM O&amp;G Production'!$Q$3:$Q$537,0))</f>
        <v>344</v>
      </c>
      <c r="CZ136" s="122" t="str">
        <f>INDEX('NM O&amp;G Production'!$O$3:$O$537,MATCH(CY136,'NM O&amp;G Production'!$P$3:$P$537,0))</f>
        <v>Yes</v>
      </c>
      <c r="DA136" s="127">
        <f>INDEX('NM O&amp;G Production'!$K$3:$O$537,MATCH($CY136,'NM O&amp;G Production'!$P$3:$P$537,0),MATCH(DA$2,'NM O&amp;G Production'!$K$2:$O$2,0))</f>
        <v>1</v>
      </c>
      <c r="DB136" s="127">
        <f>INDEX('NM O&amp;G Production'!$K$3:$O$537,MATCH($CY136,'NM O&amp;G Production'!$P$3:$P$537,0),MATCH(DB$2,'NM O&amp;G Production'!$K$2:$O$2,0))</f>
        <v>0</v>
      </c>
      <c r="DC136" s="127">
        <f>DA136+DB136</f>
        <v>1</v>
      </c>
      <c r="DD136" s="127">
        <f>INDEX('NM O&amp;G Production'!$K$3:$O$537,MATCH($CY136,'NM O&amp;G Production'!$P$3:$P$537,0),MATCH(DD$2,'NM O&amp;G Production'!$K$2:$O$2,0))</f>
        <v>0</v>
      </c>
      <c r="DE136" s="127">
        <f>INDEX('NM O&amp;G Production'!$K$3:$O$537,MATCH($CY136,'NM O&amp;G Production'!$P$3:$P$537,0),MATCH(DE$2,'NM O&amp;G Production'!$K$2:$O$2,0))</f>
        <v>7127</v>
      </c>
      <c r="DF136" s="258">
        <f>CK136/(DB136+DA136)</f>
        <v>11988999</v>
      </c>
      <c r="DG136" s="57">
        <f>DD136*(12/18)*1.06*'Oil and Gas Prices'!$C$18</f>
        <v>0</v>
      </c>
      <c r="DH136" s="284">
        <f>DE136*(12/18)*'Oil and Gas Prices'!$C$4</f>
        <v>213810</v>
      </c>
      <c r="DI136" s="284">
        <f>DG136+DH136</f>
        <v>213810</v>
      </c>
      <c r="DJ136" s="57">
        <f>(DG136+DH136)/(DA136+DB136)</f>
        <v>213810</v>
      </c>
      <c r="DK136" s="318"/>
    </row>
    <row r="137" spans="1:115" x14ac:dyDescent="0.25">
      <c r="A137" t="s">
        <v>2720</v>
      </c>
      <c r="B137" t="s">
        <v>2721</v>
      </c>
      <c r="D137" t="s">
        <v>362</v>
      </c>
      <c r="E137" t="s">
        <v>61</v>
      </c>
      <c r="F137">
        <v>80112</v>
      </c>
      <c r="G137" t="s">
        <v>62</v>
      </c>
      <c r="I137">
        <v>394</v>
      </c>
      <c r="J137" t="s">
        <v>63</v>
      </c>
      <c r="K137" t="s">
        <v>4133</v>
      </c>
      <c r="L137" t="s">
        <v>64</v>
      </c>
      <c r="M137">
        <v>10</v>
      </c>
      <c r="N137" t="s">
        <v>2722</v>
      </c>
      <c r="O137" t="s">
        <v>2723</v>
      </c>
      <c r="P137" t="s">
        <v>2724</v>
      </c>
      <c r="Q137" t="s">
        <v>2725</v>
      </c>
      <c r="R137" t="s">
        <v>362</v>
      </c>
      <c r="S137" t="s">
        <v>68</v>
      </c>
      <c r="T137" t="s">
        <v>2726</v>
      </c>
      <c r="U137" t="s">
        <v>62</v>
      </c>
      <c r="V137">
        <v>3037999828</v>
      </c>
      <c r="W137" s="1">
        <v>11891824</v>
      </c>
      <c r="X137">
        <v>16</v>
      </c>
      <c r="Y137">
        <v>30</v>
      </c>
      <c r="Z137">
        <v>1991</v>
      </c>
      <c r="AA137" t="s">
        <v>163</v>
      </c>
      <c r="AB137" t="s">
        <v>2727</v>
      </c>
      <c r="AC137" t="s">
        <v>133</v>
      </c>
      <c r="AD137" t="s">
        <v>99</v>
      </c>
      <c r="AE137">
        <v>1311</v>
      </c>
      <c r="AF137" t="s">
        <v>100</v>
      </c>
      <c r="AG137">
        <v>1381</v>
      </c>
      <c r="AH137" t="s">
        <v>518</v>
      </c>
      <c r="AI137">
        <v>13110101</v>
      </c>
      <c r="AJ137" t="s">
        <v>102</v>
      </c>
      <c r="AK137">
        <v>13810000</v>
      </c>
      <c r="AL137" t="s">
        <v>519</v>
      </c>
      <c r="AM137">
        <v>211120</v>
      </c>
      <c r="AN137" t="s">
        <v>104</v>
      </c>
      <c r="AO137">
        <v>213111</v>
      </c>
      <c r="AP137" t="s">
        <v>518</v>
      </c>
      <c r="AQ137" t="s">
        <v>75</v>
      </c>
      <c r="AR137" t="s">
        <v>2722</v>
      </c>
      <c r="AS137" t="s">
        <v>2723</v>
      </c>
      <c r="AT137" t="s">
        <v>427</v>
      </c>
      <c r="AU137" t="s">
        <v>61</v>
      </c>
      <c r="AV137" t="s">
        <v>62</v>
      </c>
      <c r="AW137" t="s">
        <v>2722</v>
      </c>
      <c r="AX137" t="s">
        <v>2723</v>
      </c>
      <c r="AY137" t="s">
        <v>61</v>
      </c>
      <c r="AZ137" t="s">
        <v>62</v>
      </c>
      <c r="BE137" t="s">
        <v>62</v>
      </c>
      <c r="BF137">
        <v>1</v>
      </c>
      <c r="BG137">
        <v>2</v>
      </c>
      <c r="BH137" s="4" t="s">
        <v>2722</v>
      </c>
      <c r="BI137" s="4" t="s">
        <v>2723</v>
      </c>
      <c r="BJ137" s="4" t="s">
        <v>2724</v>
      </c>
      <c r="BK137" s="4" t="s">
        <v>2725</v>
      </c>
      <c r="BL137" s="4" t="s">
        <v>362</v>
      </c>
      <c r="BM137" s="4" t="s">
        <v>68</v>
      </c>
      <c r="BN137" s="4" t="s">
        <v>2726</v>
      </c>
      <c r="BO137" s="4" t="s">
        <v>62</v>
      </c>
      <c r="BP137" s="4">
        <v>3037999828</v>
      </c>
      <c r="BQ137" s="5">
        <v>11891824</v>
      </c>
      <c r="BR137" s="4">
        <v>16</v>
      </c>
      <c r="BS137" s="4">
        <v>30</v>
      </c>
      <c r="BT137" s="4">
        <v>1991</v>
      </c>
      <c r="BU137" s="4" t="s">
        <v>163</v>
      </c>
      <c r="BV137" s="4" t="s">
        <v>2727</v>
      </c>
      <c r="BW137" s="4" t="s">
        <v>133</v>
      </c>
      <c r="BX137" s="4" t="s">
        <v>99</v>
      </c>
      <c r="BY137" s="4">
        <v>1311</v>
      </c>
      <c r="BZ137" s="4" t="s">
        <v>100</v>
      </c>
      <c r="CA137" s="4">
        <v>1381</v>
      </c>
      <c r="CB137" s="4" t="s">
        <v>518</v>
      </c>
      <c r="CC137" s="4">
        <v>13110101</v>
      </c>
      <c r="CD137" s="4" t="s">
        <v>102</v>
      </c>
      <c r="CE137" s="4">
        <v>13810000</v>
      </c>
      <c r="CF137" s="4" t="s">
        <v>519</v>
      </c>
      <c r="CG137" s="4">
        <v>211120</v>
      </c>
      <c r="CH137" s="4" t="s">
        <v>104</v>
      </c>
      <c r="CI137" s="4">
        <v>213111</v>
      </c>
      <c r="CJ137" s="4" t="s">
        <v>518</v>
      </c>
      <c r="CK137" s="19">
        <f>IF(BQ137&gt;0,BQ137,W137)</f>
        <v>11891824</v>
      </c>
      <c r="CL137" s="20">
        <f>IF(BS137&gt;0,BS137,Y137)</f>
        <v>30</v>
      </c>
      <c r="CM137" s="34">
        <f>IF(CG137&gt;0,CG137,AM137)</f>
        <v>211120</v>
      </c>
      <c r="CN137" s="80">
        <f>IF($BH137="",1,COUNTIF($BH$3:$BH137,$BH137))</f>
        <v>1</v>
      </c>
      <c r="CP137" t="str">
        <f>IF($K137="Standard Match","Match",IF($K137="Name Only Match",IF($CO137="Yes","Match","Name Only Match"),"No Match"))</f>
        <v>Match</v>
      </c>
      <c r="CQ137" s="35" t="str">
        <f>IF(AND(CP137="Match",CK137&gt;0,CL137&gt;0),"Y","N")</f>
        <v>Y</v>
      </c>
      <c r="CS137" t="str">
        <f>IF($CQ137="Y",VLOOKUP($CM137,'SBA Size Standards'!$B$3:$G$57,MATCH('SBA Size Standards'!$G$3,'SBA Size Standards'!$B$3:$G$3,0),FALSE),"")</f>
        <v>Employment</v>
      </c>
      <c r="CT137" s="60" t="str">
        <f>IF(CQ137="Y",IF($CS137="Employment","N/A",VLOOKUP($CM137,'SBA Size Standards'!$B$3:$G$57,MATCH('SBA Size Standards'!$E$3,'SBA Size Standards'!$B$3:$G$3,0),FALSE)),"")</f>
        <v>N/A</v>
      </c>
      <c r="CU137" s="86">
        <f>IF($CQ137="Y",IF($CS137="Revenue","N/A",VLOOKUP($CM137,'SBA Size Standards'!$B$3:$G$57,MATCH('SBA Size Standards'!$F$3,'SBA Size Standards'!$B$3:$G$3,0),FALSE)),"")</f>
        <v>1250</v>
      </c>
      <c r="CV137" t="str">
        <f>IF($CQ137="Y",IF(OR(AND($CS137="Employment",$CL137&lt;$CU137),AND($CS137="Revenue",$CK137&lt;$CT137)),"YES","NO"),"")</f>
        <v>YES</v>
      </c>
      <c r="CW137" s="90" t="str">
        <f>IF($CQ137="Y",INDEX('SBA Size Standards'!$N$3:$N$12,MATCH($CK137,'SBA Size Standards'!$O$3:$O$12,1)),"")</f>
        <v>$5,000,001 - $100,000,000</v>
      </c>
      <c r="CX137" s="122" t="s">
        <v>4720</v>
      </c>
      <c r="CY137" s="122">
        <f>INDEX('NM O&amp;G Production'!$P$3:$P$537,MATCH(CX137,'NM O&amp;G Production'!$Q$3:$Q$537,0))</f>
        <v>394</v>
      </c>
      <c r="CZ137" s="122" t="str">
        <f>INDEX('NM O&amp;G Production'!$O$3:$O$537,MATCH(CY137,'NM O&amp;G Production'!$P$3:$P$537,0))</f>
        <v>Yes</v>
      </c>
      <c r="DA137" s="127">
        <f>INDEX('NM O&amp;G Production'!$K$3:$O$537,MATCH($CY137,'NM O&amp;G Production'!$P$3:$P$537,0),MATCH(DA$2,'NM O&amp;G Production'!$K$2:$O$2,0))</f>
        <v>37</v>
      </c>
      <c r="DB137" s="127">
        <f>INDEX('NM O&amp;G Production'!$K$3:$O$537,MATCH($CY137,'NM O&amp;G Production'!$P$3:$P$537,0),MATCH(DB$2,'NM O&amp;G Production'!$K$2:$O$2,0))</f>
        <v>72</v>
      </c>
      <c r="DC137" s="127">
        <f>DA137+DB137</f>
        <v>109</v>
      </c>
      <c r="DD137" s="127">
        <f>INDEX('NM O&amp;G Production'!$K$3:$O$537,MATCH($CY137,'NM O&amp;G Production'!$P$3:$P$537,0),MATCH(DD$2,'NM O&amp;G Production'!$K$2:$O$2,0))</f>
        <v>2392452</v>
      </c>
      <c r="DE137" s="127">
        <f>INDEX('NM O&amp;G Production'!$K$3:$O$537,MATCH($CY137,'NM O&amp;G Production'!$P$3:$P$537,0),MATCH(DE$2,'NM O&amp;G Production'!$K$2:$O$2,0))</f>
        <v>29486</v>
      </c>
      <c r="DF137" s="258">
        <f>CK137/(DB137+DA137)</f>
        <v>109099.30275229357</v>
      </c>
      <c r="DG137" s="57">
        <f>DD137*(12/18)*1.06*'Oil and Gas Prices'!$C$18</f>
        <v>4040691.9312000005</v>
      </c>
      <c r="DH137" s="284">
        <f>DE137*(12/18)*'Oil and Gas Prices'!$C$4</f>
        <v>884580</v>
      </c>
      <c r="DI137" s="284">
        <f>DG137+DH137</f>
        <v>4925271.9312000005</v>
      </c>
      <c r="DJ137" s="57">
        <f>(DG137+DH137)/(DA137+DB137)</f>
        <v>45185.981020183492</v>
      </c>
      <c r="DK137" s="319"/>
    </row>
    <row r="138" spans="1:115" x14ac:dyDescent="0.25">
      <c r="A138" t="s">
        <v>2711</v>
      </c>
      <c r="B138" t="s">
        <v>2712</v>
      </c>
      <c r="D138" t="s">
        <v>585</v>
      </c>
      <c r="E138" t="s">
        <v>184</v>
      </c>
      <c r="F138">
        <v>73104</v>
      </c>
      <c r="G138" t="s">
        <v>62</v>
      </c>
      <c r="I138">
        <v>393</v>
      </c>
      <c r="J138" t="s">
        <v>63</v>
      </c>
      <c r="K138" t="s">
        <v>4133</v>
      </c>
      <c r="L138" t="s">
        <v>64</v>
      </c>
      <c r="M138">
        <v>10</v>
      </c>
      <c r="N138" t="s">
        <v>2713</v>
      </c>
      <c r="O138" t="s">
        <v>2714</v>
      </c>
      <c r="Q138" t="s">
        <v>2715</v>
      </c>
      <c r="R138" t="s">
        <v>585</v>
      </c>
      <c r="S138" t="s">
        <v>188</v>
      </c>
      <c r="T138" t="s">
        <v>2716</v>
      </c>
      <c r="U138" t="s">
        <v>62</v>
      </c>
      <c r="V138">
        <v>4054158699</v>
      </c>
      <c r="W138" s="1">
        <v>3611966</v>
      </c>
      <c r="X138">
        <v>29</v>
      </c>
      <c r="Y138">
        <v>29</v>
      </c>
      <c r="Z138">
        <v>2017</v>
      </c>
      <c r="AA138" t="s">
        <v>70</v>
      </c>
      <c r="AB138" t="s">
        <v>2717</v>
      </c>
      <c r="AC138" t="s">
        <v>145</v>
      </c>
      <c r="AD138" t="s">
        <v>119</v>
      </c>
      <c r="AE138">
        <v>1382</v>
      </c>
      <c r="AF138" t="s">
        <v>120</v>
      </c>
      <c r="AI138">
        <v>13820000</v>
      </c>
      <c r="AJ138" t="s">
        <v>119</v>
      </c>
      <c r="AM138">
        <v>213112</v>
      </c>
      <c r="AN138" t="s">
        <v>74</v>
      </c>
      <c r="AQ138" t="s">
        <v>168</v>
      </c>
      <c r="AR138" t="s">
        <v>2718</v>
      </c>
      <c r="AS138" t="s">
        <v>2719</v>
      </c>
      <c r="AT138" t="s">
        <v>76</v>
      </c>
      <c r="AU138" t="s">
        <v>184</v>
      </c>
      <c r="AV138" t="s">
        <v>62</v>
      </c>
      <c r="AW138" t="s">
        <v>2718</v>
      </c>
      <c r="AX138" t="s">
        <v>2719</v>
      </c>
      <c r="AY138" t="s">
        <v>184</v>
      </c>
      <c r="AZ138" t="s">
        <v>62</v>
      </c>
      <c r="BA138" t="s">
        <v>2718</v>
      </c>
      <c r="BC138" t="s">
        <v>2719</v>
      </c>
      <c r="BD138" t="s">
        <v>184</v>
      </c>
      <c r="BE138" t="s">
        <v>62</v>
      </c>
      <c r="BF138">
        <v>2</v>
      </c>
      <c r="BG138">
        <v>2</v>
      </c>
      <c r="BH138" s="4" t="s">
        <v>2718</v>
      </c>
      <c r="BI138" s="4" t="s">
        <v>2719</v>
      </c>
      <c r="BK138" s="4" t="s">
        <v>4206</v>
      </c>
      <c r="BL138" s="4" t="s">
        <v>585</v>
      </c>
      <c r="BM138" s="4" t="s">
        <v>188</v>
      </c>
      <c r="BN138" s="4" t="s">
        <v>2716</v>
      </c>
      <c r="BO138" s="4" t="s">
        <v>62</v>
      </c>
      <c r="BP138" s="4">
        <v>4054158699</v>
      </c>
      <c r="BQ138" s="5">
        <v>11757000</v>
      </c>
      <c r="BR138" s="4">
        <v>9</v>
      </c>
      <c r="BS138" s="4">
        <v>38</v>
      </c>
      <c r="BT138" s="4">
        <v>2016</v>
      </c>
      <c r="BU138" s="4" t="s">
        <v>163</v>
      </c>
      <c r="BV138" s="4" t="s">
        <v>4207</v>
      </c>
      <c r="BW138" s="4" t="s">
        <v>165</v>
      </c>
      <c r="BX138" s="4" t="s">
        <v>119</v>
      </c>
      <c r="BY138" s="4">
        <v>1382</v>
      </c>
      <c r="BZ138" s="4" t="s">
        <v>120</v>
      </c>
      <c r="CA138" s="4">
        <v>1389</v>
      </c>
      <c r="CB138" s="4" t="s">
        <v>72</v>
      </c>
      <c r="CC138" s="4">
        <v>13820000</v>
      </c>
      <c r="CD138" s="4" t="s">
        <v>119</v>
      </c>
      <c r="CE138" s="4">
        <v>13899912</v>
      </c>
      <c r="CF138" s="4" t="s">
        <v>426</v>
      </c>
      <c r="CG138" s="4">
        <v>213112</v>
      </c>
      <c r="CH138" s="4" t="s">
        <v>74</v>
      </c>
      <c r="CI138" s="4">
        <v>213112</v>
      </c>
      <c r="CJ138" s="4" t="s">
        <v>74</v>
      </c>
      <c r="CK138" s="19">
        <f>IF(BQ138&gt;0,BQ138,W138)</f>
        <v>11757000</v>
      </c>
      <c r="CL138" s="20">
        <f>IF(BS138&gt;0,BS138,Y138)</f>
        <v>38</v>
      </c>
      <c r="CM138" s="34">
        <f>IF(CG138&gt;0,CG138,AM138)</f>
        <v>213112</v>
      </c>
      <c r="CN138" s="80">
        <f>IF($BH138="",1,COUNTIF($BH$3:$BH138,$BH138))</f>
        <v>1</v>
      </c>
      <c r="CP138" t="str">
        <f>IF($K138="Standard Match","Match",IF($K138="Name Only Match",IF($CO138="Yes","Match","Name Only Match"),"No Match"))</f>
        <v>Match</v>
      </c>
      <c r="CQ138" s="35" t="str">
        <f>IF(AND(CP138="Match",CK138&gt;0,CL138&gt;0),"Y","N")</f>
        <v>Y</v>
      </c>
      <c r="CS138" t="str">
        <f>IF($CQ138="Y",VLOOKUP($CM138,'SBA Size Standards'!$B$3:$G$57,MATCH('SBA Size Standards'!$G$3,'SBA Size Standards'!$B$3:$G$3,0),FALSE),"")</f>
        <v>Revenue</v>
      </c>
      <c r="CT138" s="60">
        <f>IF(CQ138="Y",IF($CS138="Employment","N/A",VLOOKUP($CM138,'SBA Size Standards'!$B$3:$G$57,MATCH('SBA Size Standards'!$E$3,'SBA Size Standards'!$B$3:$G$3,0),FALSE)),"")</f>
        <v>41500000</v>
      </c>
      <c r="CU138" s="86" t="str">
        <f>IF($CQ138="Y",IF($CS138="Revenue","N/A",VLOOKUP($CM138,'SBA Size Standards'!$B$3:$G$57,MATCH('SBA Size Standards'!$F$3,'SBA Size Standards'!$B$3:$G$3,0),FALSE)),"")</f>
        <v>N/A</v>
      </c>
      <c r="CV138" t="str">
        <f>IF($CQ138="Y",IF(OR(AND($CS138="Employment",$CL138&lt;$CU138),AND($CS138="Revenue",$CK138&lt;$CT138)),"YES","NO"),"")</f>
        <v>YES</v>
      </c>
      <c r="CW138" s="90" t="str">
        <f>IF($CQ138="Y",INDEX('SBA Size Standards'!$N$3:$N$12,MATCH($CK138,'SBA Size Standards'!$O$3:$O$12,1)),"")</f>
        <v>$5,000,001 - $100,000,000</v>
      </c>
      <c r="CX138" s="122" t="s">
        <v>4719</v>
      </c>
      <c r="CY138" s="122">
        <f>INDEX('NM O&amp;G Production'!$P$3:$P$537,MATCH(CX138,'NM O&amp;G Production'!$Q$3:$Q$537,0))</f>
        <v>393</v>
      </c>
      <c r="CZ138" s="122" t="str">
        <f>INDEX('NM O&amp;G Production'!$O$3:$O$537,MATCH(CY138,'NM O&amp;G Production'!$P$3:$P$537,0))</f>
        <v>Yes</v>
      </c>
      <c r="DA138" s="127">
        <f>INDEX('NM O&amp;G Production'!$K$3:$O$537,MATCH($CY138,'NM O&amp;G Production'!$P$3:$P$537,0),MATCH(DA$2,'NM O&amp;G Production'!$K$2:$O$2,0))</f>
        <v>3</v>
      </c>
      <c r="DB138" s="127">
        <f>INDEX('NM O&amp;G Production'!$K$3:$O$537,MATCH($CY138,'NM O&amp;G Production'!$P$3:$P$537,0),MATCH(DB$2,'NM O&amp;G Production'!$K$2:$O$2,0))</f>
        <v>3</v>
      </c>
      <c r="DC138" s="127">
        <f>DA138+DB138</f>
        <v>6</v>
      </c>
      <c r="DD138" s="127">
        <f>INDEX('NM O&amp;G Production'!$K$3:$O$537,MATCH($CY138,'NM O&amp;G Production'!$P$3:$P$537,0),MATCH(DD$2,'NM O&amp;G Production'!$K$2:$O$2,0))</f>
        <v>167828</v>
      </c>
      <c r="DE138" s="127">
        <f>INDEX('NM O&amp;G Production'!$K$3:$O$537,MATCH($CY138,'NM O&amp;G Production'!$P$3:$P$537,0),MATCH(DE$2,'NM O&amp;G Production'!$K$2:$O$2,0))</f>
        <v>95622</v>
      </c>
      <c r="DF138" s="258">
        <f>CK138/(DB138+DA138)</f>
        <v>1959500</v>
      </c>
      <c r="DG138" s="57">
        <f>DD138*(12/18)*1.06*'Oil and Gas Prices'!$C$18</f>
        <v>283450.30346666666</v>
      </c>
      <c r="DH138" s="284">
        <f>DE138*(12/18)*'Oil and Gas Prices'!$C$4</f>
        <v>2868660</v>
      </c>
      <c r="DI138" s="284">
        <f>DG138+DH138</f>
        <v>3152110.3034666665</v>
      </c>
      <c r="DJ138" s="57">
        <f>(DG138+DH138)/(DA138+DB138)</f>
        <v>525351.71724444441</v>
      </c>
      <c r="DK138" s="318"/>
    </row>
    <row r="139" spans="1:115" x14ac:dyDescent="0.25">
      <c r="A139" s="21" t="s">
        <v>1941</v>
      </c>
      <c r="B139" s="21" t="s">
        <v>1942</v>
      </c>
      <c r="C139" s="21"/>
      <c r="D139" s="21" t="s">
        <v>378</v>
      </c>
      <c r="E139" s="21" t="s">
        <v>80</v>
      </c>
      <c r="F139">
        <v>75225</v>
      </c>
      <c r="G139" t="s">
        <v>62</v>
      </c>
      <c r="I139">
        <v>269</v>
      </c>
      <c r="J139" t="s">
        <v>63</v>
      </c>
      <c r="K139" t="s">
        <v>4134</v>
      </c>
      <c r="L139" t="s">
        <v>3627</v>
      </c>
      <c r="M139">
        <v>8</v>
      </c>
      <c r="N139" t="s">
        <v>3901</v>
      </c>
      <c r="O139" s="21" t="s">
        <v>3902</v>
      </c>
      <c r="P139" s="21"/>
      <c r="Q139" s="21" t="s">
        <v>3903</v>
      </c>
      <c r="R139" s="21" t="s">
        <v>1336</v>
      </c>
      <c r="S139" s="21" t="s">
        <v>94</v>
      </c>
      <c r="T139" t="s">
        <v>3904</v>
      </c>
      <c r="U139" t="s">
        <v>62</v>
      </c>
      <c r="V139">
        <v>9725909900</v>
      </c>
      <c r="W139" s="23">
        <v>10707890</v>
      </c>
      <c r="X139" s="21">
        <v>50</v>
      </c>
      <c r="Y139" s="21">
        <v>50</v>
      </c>
      <c r="Z139">
        <v>2001</v>
      </c>
      <c r="AA139" s="21" t="s">
        <v>70</v>
      </c>
      <c r="AB139" t="s">
        <v>3905</v>
      </c>
      <c r="AC139" t="s">
        <v>145</v>
      </c>
      <c r="AD139" s="21" t="s">
        <v>119</v>
      </c>
      <c r="AE139">
        <v>1382</v>
      </c>
      <c r="AF139" t="s">
        <v>120</v>
      </c>
      <c r="AI139">
        <v>13820000</v>
      </c>
      <c r="AJ139" t="s">
        <v>119</v>
      </c>
      <c r="AM139" s="21">
        <v>213112</v>
      </c>
      <c r="AN139" s="21" t="s">
        <v>74</v>
      </c>
      <c r="AO139" s="21"/>
      <c r="AP139" s="21"/>
      <c r="AQ139" s="21" t="s">
        <v>75</v>
      </c>
      <c r="AT139" t="s">
        <v>76</v>
      </c>
      <c r="BF139">
        <v>0</v>
      </c>
      <c r="BG139" s="24">
        <v>0</v>
      </c>
      <c r="BH139" s="24"/>
      <c r="BI139" s="24"/>
      <c r="BJ139" s="24"/>
      <c r="BK139" s="24"/>
      <c r="BL139" s="24"/>
      <c r="BM139" s="24"/>
      <c r="BN139" s="24"/>
      <c r="BO139" s="24"/>
      <c r="BQ139" s="24"/>
      <c r="BR139" s="24"/>
      <c r="BS139" s="24"/>
      <c r="BU139" s="24"/>
      <c r="BX139" s="24"/>
      <c r="CG139" s="24"/>
      <c r="CH139" s="24"/>
      <c r="CI139" s="24"/>
      <c r="CJ139" s="24"/>
      <c r="CK139" s="19">
        <f>IF(BQ139&gt;0,BQ139,W139)</f>
        <v>10707890</v>
      </c>
      <c r="CL139" s="20">
        <f>IF(BS139&gt;0,BS139,Y139)</f>
        <v>50</v>
      </c>
      <c r="CM139" s="34">
        <f>IF(CG139&gt;0,CG139,AM139)</f>
        <v>213112</v>
      </c>
      <c r="CN139" s="80">
        <f>IF($BH139="",1,COUNTIF($BH$3:$BH139,$BH139))</f>
        <v>1</v>
      </c>
      <c r="CO139" s="33" t="s">
        <v>4386</v>
      </c>
      <c r="CP139" t="str">
        <f>IF($K139="Standard Match","Match",IF($K139="Name Only Match",IF($CO139="Yes","Match","Name Only Match"),"No Match"))</f>
        <v>Match</v>
      </c>
      <c r="CQ139" s="35" t="str">
        <f>IF(AND(CP139="Match",CK139&gt;0,CL139&gt;0),"Y","N")</f>
        <v>Y</v>
      </c>
      <c r="CR139" s="21"/>
      <c r="CS139" t="str">
        <f>IF($CQ139="Y",VLOOKUP($CM139,'SBA Size Standards'!$B$3:$G$57,MATCH('SBA Size Standards'!$G$3,'SBA Size Standards'!$B$3:$G$3,0),FALSE),"")</f>
        <v>Revenue</v>
      </c>
      <c r="CT139" s="60">
        <f>IF(CQ139="Y",IF($CS139="Employment","N/A",VLOOKUP($CM139,'SBA Size Standards'!$B$3:$G$57,MATCH('SBA Size Standards'!$E$3,'SBA Size Standards'!$B$3:$G$3,0),FALSE)),"")</f>
        <v>41500000</v>
      </c>
      <c r="CU139" s="86" t="str">
        <f>IF($CQ139="Y",IF($CS139="Revenue","N/A",VLOOKUP($CM139,'SBA Size Standards'!$B$3:$G$57,MATCH('SBA Size Standards'!$F$3,'SBA Size Standards'!$B$3:$G$3,0),FALSE)),"")</f>
        <v>N/A</v>
      </c>
      <c r="CV139" t="str">
        <f>IF($CQ139="Y",IF(OR(AND($CS139="Employment",$CL139&lt;$CU139),AND($CS139="Revenue",$CK139&lt;$CT139)),"YES","NO"),"")</f>
        <v>YES</v>
      </c>
      <c r="CW139" s="90" t="str">
        <f>IF($CQ139="Y",INDEX('SBA Size Standards'!$N$3:$N$12,MATCH($CK139,'SBA Size Standards'!$O$3:$O$12,1)),"")</f>
        <v>$5,000,001 - $100,000,000</v>
      </c>
      <c r="CX139" s="122" t="s">
        <v>4972</v>
      </c>
      <c r="CY139" s="122">
        <f>INDEX('NM O&amp;G Production'!$P$3:$P$537,MATCH(CX139,'NM O&amp;G Production'!$Q$3:$Q$537,0))</f>
        <v>269</v>
      </c>
      <c r="CZ139" s="122" t="str">
        <f>INDEX('NM O&amp;G Production'!$O$3:$O$537,MATCH(CY139,'NM O&amp;G Production'!$P$3:$P$537,0))</f>
        <v>Yes</v>
      </c>
      <c r="DA139" s="127">
        <f>INDEX('NM O&amp;G Production'!$K$3:$O$537,MATCH($CY139,'NM O&amp;G Production'!$P$3:$P$537,0),MATCH(DA$2,'NM O&amp;G Production'!$K$2:$O$2,0))</f>
        <v>3</v>
      </c>
      <c r="DB139" s="127">
        <f>INDEX('NM O&amp;G Production'!$K$3:$O$537,MATCH($CY139,'NM O&amp;G Production'!$P$3:$P$537,0),MATCH(DB$2,'NM O&amp;G Production'!$K$2:$O$2,0))</f>
        <v>54</v>
      </c>
      <c r="DC139" s="127">
        <f>DA139+DB139</f>
        <v>57</v>
      </c>
      <c r="DD139" s="127">
        <f>INDEX('NM O&amp;G Production'!$K$3:$O$537,MATCH($CY139,'NM O&amp;G Production'!$P$3:$P$537,0),MATCH(DD$2,'NM O&amp;G Production'!$K$2:$O$2,0))</f>
        <v>478286</v>
      </c>
      <c r="DE139" s="127">
        <f>INDEX('NM O&amp;G Production'!$K$3:$O$537,MATCH($CY139,'NM O&amp;G Production'!$P$3:$P$537,0),MATCH(DE$2,'NM O&amp;G Production'!$K$2:$O$2,0))</f>
        <v>68853</v>
      </c>
      <c r="DF139" s="258">
        <f>CK139/(DB139+DA139)</f>
        <v>187857.71929824562</v>
      </c>
      <c r="DG139" s="57">
        <f>DD139*(12/18)*1.06*'Oil and Gas Prices'!$C$18</f>
        <v>807793.1682666667</v>
      </c>
      <c r="DH139" s="284">
        <f>DE139*(12/18)*'Oil and Gas Prices'!$C$4</f>
        <v>2065590</v>
      </c>
      <c r="DI139" s="284">
        <f>DG139+DH139</f>
        <v>2873383.1682666666</v>
      </c>
      <c r="DJ139" s="57">
        <f>(DG139+DH139)/(DA139+DB139)</f>
        <v>50410.231022222222</v>
      </c>
      <c r="DK139" s="319"/>
    </row>
    <row r="140" spans="1:115" x14ac:dyDescent="0.25">
      <c r="A140" t="s">
        <v>685</v>
      </c>
      <c r="B140" t="s">
        <v>686</v>
      </c>
      <c r="D140" t="s">
        <v>687</v>
      </c>
      <c r="E140" t="s">
        <v>80</v>
      </c>
      <c r="F140">
        <v>79550</v>
      </c>
      <c r="G140" t="s">
        <v>62</v>
      </c>
      <c r="I140">
        <v>85</v>
      </c>
      <c r="J140" t="s">
        <v>63</v>
      </c>
      <c r="K140" t="s">
        <v>4133</v>
      </c>
      <c r="L140" t="s">
        <v>149</v>
      </c>
      <c r="M140">
        <v>10</v>
      </c>
      <c r="N140" t="s">
        <v>688</v>
      </c>
      <c r="O140" t="s">
        <v>689</v>
      </c>
      <c r="Q140" t="s">
        <v>690</v>
      </c>
      <c r="R140" t="s">
        <v>687</v>
      </c>
      <c r="S140" t="s">
        <v>94</v>
      </c>
      <c r="T140">
        <v>79549</v>
      </c>
      <c r="U140" t="s">
        <v>62</v>
      </c>
      <c r="V140">
        <v>3255730750</v>
      </c>
      <c r="X140">
        <v>22</v>
      </c>
      <c r="Y140">
        <v>0</v>
      </c>
      <c r="AA140" t="s">
        <v>96</v>
      </c>
      <c r="AB140" t="s">
        <v>691</v>
      </c>
      <c r="AC140" t="s">
        <v>647</v>
      </c>
      <c r="AD140" t="s">
        <v>119</v>
      </c>
      <c r="AE140">
        <v>1382</v>
      </c>
      <c r="AF140" t="s">
        <v>120</v>
      </c>
      <c r="AI140">
        <v>13820000</v>
      </c>
      <c r="AJ140" t="s">
        <v>119</v>
      </c>
      <c r="AM140">
        <v>213112</v>
      </c>
      <c r="AN140" t="s">
        <v>74</v>
      </c>
      <c r="AQ140" t="s">
        <v>75</v>
      </c>
      <c r="AR140" t="s">
        <v>692</v>
      </c>
      <c r="AS140" t="s">
        <v>689</v>
      </c>
      <c r="AT140" t="s">
        <v>76</v>
      </c>
      <c r="AU140" t="s">
        <v>80</v>
      </c>
      <c r="AV140" t="s">
        <v>62</v>
      </c>
      <c r="AW140" t="s">
        <v>692</v>
      </c>
      <c r="AX140" t="s">
        <v>689</v>
      </c>
      <c r="AY140" t="s">
        <v>80</v>
      </c>
      <c r="AZ140" t="s">
        <v>62</v>
      </c>
      <c r="BB140" t="s">
        <v>692</v>
      </c>
      <c r="BC140" t="s">
        <v>689</v>
      </c>
      <c r="BD140" t="s">
        <v>80</v>
      </c>
      <c r="BE140" t="s">
        <v>62</v>
      </c>
      <c r="BF140">
        <v>1</v>
      </c>
      <c r="BG140">
        <v>6</v>
      </c>
      <c r="BH140" s="4" t="s">
        <v>692</v>
      </c>
      <c r="BI140" s="4" t="s">
        <v>689</v>
      </c>
      <c r="BK140" s="4" t="s">
        <v>4158</v>
      </c>
      <c r="BL140" s="4" t="s">
        <v>126</v>
      </c>
      <c r="BM140" s="4" t="s">
        <v>94</v>
      </c>
      <c r="BN140" s="4">
        <v>78746</v>
      </c>
      <c r="BO140" s="4" t="s">
        <v>62</v>
      </c>
      <c r="BP140" s="4">
        <v>5123288085</v>
      </c>
      <c r="BQ140" s="5">
        <v>9400000</v>
      </c>
      <c r="BR140" s="4">
        <v>20</v>
      </c>
      <c r="BS140" s="4">
        <v>59</v>
      </c>
      <c r="BT140" s="4">
        <v>2007</v>
      </c>
      <c r="BU140" s="4" t="s">
        <v>163</v>
      </c>
      <c r="BV140" s="4" t="s">
        <v>4159</v>
      </c>
      <c r="BW140" s="4" t="s">
        <v>145</v>
      </c>
      <c r="BX140" s="4" t="s">
        <v>119</v>
      </c>
      <c r="BY140" s="4">
        <v>1382</v>
      </c>
      <c r="BZ140" s="4" t="s">
        <v>120</v>
      </c>
      <c r="CC140" s="4">
        <v>13820000</v>
      </c>
      <c r="CD140" s="4" t="s">
        <v>119</v>
      </c>
      <c r="CG140" s="4">
        <v>213112</v>
      </c>
      <c r="CH140" s="4" t="s">
        <v>74</v>
      </c>
      <c r="CK140" s="19">
        <f>IF(BQ140&gt;0,BQ140,W140)</f>
        <v>9400000</v>
      </c>
      <c r="CL140" s="20">
        <f>IF(BS140&gt;0,BS140,Y140)</f>
        <v>59</v>
      </c>
      <c r="CM140" s="34">
        <f>IF(CG140&gt;0,CG140,AM140)</f>
        <v>213112</v>
      </c>
      <c r="CN140" s="80">
        <f>IF($BH140="",1,COUNTIF($BH$3:$BH140,$BH140))</f>
        <v>1</v>
      </c>
      <c r="CP140" t="str">
        <f>IF($K140="Standard Match","Match",IF($K140="Name Only Match",IF($CO140="Yes","Match","Name Only Match"),"No Match"))</f>
        <v>Match</v>
      </c>
      <c r="CQ140" s="35" t="str">
        <f>IF(AND(CP140="Match",CK140&gt;0,CL140&gt;0),"Y","N")</f>
        <v>Y</v>
      </c>
      <c r="CS140" t="str">
        <f>IF($CQ140="Y",VLOOKUP($CM140,'SBA Size Standards'!$B$3:$G$57,MATCH('SBA Size Standards'!$G$3,'SBA Size Standards'!$B$3:$G$3,0),FALSE),"")</f>
        <v>Revenue</v>
      </c>
      <c r="CT140" s="60">
        <f>IF(CQ140="Y",IF($CS140="Employment","N/A",VLOOKUP($CM140,'SBA Size Standards'!$B$3:$G$57,MATCH('SBA Size Standards'!$E$3,'SBA Size Standards'!$B$3:$G$3,0),FALSE)),"")</f>
        <v>41500000</v>
      </c>
      <c r="CU140" s="86" t="str">
        <f>IF($CQ140="Y",IF($CS140="Revenue","N/A",VLOOKUP($CM140,'SBA Size Standards'!$B$3:$G$57,MATCH('SBA Size Standards'!$F$3,'SBA Size Standards'!$B$3:$G$3,0),FALSE)),"")</f>
        <v>N/A</v>
      </c>
      <c r="CV140" t="str">
        <f>IF($CQ140="Y",IF(OR(AND($CS140="Employment",$CL140&lt;$CU140),AND($CS140="Revenue",$CK140&lt;$CT140)),"YES","NO"),"")</f>
        <v>YES</v>
      </c>
      <c r="CW140" s="90" t="str">
        <f>IF($CQ140="Y",INDEX('SBA Size Standards'!$N$3:$N$12,MATCH($CK140,'SBA Size Standards'!$O$3:$O$12,1)),"")</f>
        <v>$5,000,001 - $100,000,000</v>
      </c>
      <c r="CX140" s="122" t="s">
        <v>4571</v>
      </c>
      <c r="CY140" s="122">
        <f>INDEX('NM O&amp;G Production'!$P$3:$P$537,MATCH(CX140,'NM O&amp;G Production'!$Q$3:$Q$537,0))</f>
        <v>85</v>
      </c>
      <c r="CZ140" s="122" t="str">
        <f>INDEX('NM O&amp;G Production'!$O$3:$O$537,MATCH(CY140,'NM O&amp;G Production'!$P$3:$P$537,0))</f>
        <v>Yes</v>
      </c>
      <c r="DA140" s="127">
        <f>INDEX('NM O&amp;G Production'!$K$3:$O$537,MATCH($CY140,'NM O&amp;G Production'!$P$3:$P$537,0),MATCH(DA$2,'NM O&amp;G Production'!$K$2:$O$2,0))</f>
        <v>13</v>
      </c>
      <c r="DB140" s="127">
        <f>INDEX('NM O&amp;G Production'!$K$3:$O$537,MATCH($CY140,'NM O&amp;G Production'!$P$3:$P$537,0),MATCH(DB$2,'NM O&amp;G Production'!$K$2:$O$2,0))</f>
        <v>24</v>
      </c>
      <c r="DC140" s="127">
        <f>DA140+DB140</f>
        <v>37</v>
      </c>
      <c r="DD140" s="127">
        <f>INDEX('NM O&amp;G Production'!$K$3:$O$537,MATCH($CY140,'NM O&amp;G Production'!$P$3:$P$537,0),MATCH(DD$2,'NM O&amp;G Production'!$K$2:$O$2,0))</f>
        <v>387548</v>
      </c>
      <c r="DE140" s="127">
        <f>INDEX('NM O&amp;G Production'!$K$3:$O$537,MATCH($CY140,'NM O&amp;G Production'!$P$3:$P$537,0),MATCH(DE$2,'NM O&amp;G Production'!$K$2:$O$2,0))</f>
        <v>165186</v>
      </c>
      <c r="DF140" s="258">
        <f>CK140/(DB140+DA140)</f>
        <v>254054.05405405405</v>
      </c>
      <c r="DG140" s="57">
        <f>DD140*(12/18)*1.06*'Oil and Gas Prices'!$C$18</f>
        <v>654542.73546666664</v>
      </c>
      <c r="DH140" s="284">
        <f>DE140*(12/18)*'Oil and Gas Prices'!$C$4</f>
        <v>4955580</v>
      </c>
      <c r="DI140" s="284">
        <f>DG140+DH140</f>
        <v>5610122.7354666665</v>
      </c>
      <c r="DJ140" s="57">
        <f>(DG140+DH140)/(DA140+DB140)</f>
        <v>151624.9387963964</v>
      </c>
      <c r="DK140" s="319"/>
    </row>
    <row r="141" spans="1:115" x14ac:dyDescent="0.25">
      <c r="A141" t="s">
        <v>3066</v>
      </c>
      <c r="B141" t="s">
        <v>3067</v>
      </c>
      <c r="D141" t="s">
        <v>3068</v>
      </c>
      <c r="E141" t="s">
        <v>184</v>
      </c>
      <c r="F141">
        <v>74076</v>
      </c>
      <c r="G141" t="s">
        <v>62</v>
      </c>
      <c r="I141">
        <v>448</v>
      </c>
      <c r="J141" t="s">
        <v>392</v>
      </c>
      <c r="K141" t="s">
        <v>4133</v>
      </c>
      <c r="L141" t="s">
        <v>149</v>
      </c>
      <c r="M141">
        <v>10</v>
      </c>
      <c r="N141" t="s">
        <v>3069</v>
      </c>
      <c r="O141" t="s">
        <v>3070</v>
      </c>
      <c r="Q141" t="s">
        <v>3071</v>
      </c>
      <c r="R141" t="s">
        <v>3068</v>
      </c>
      <c r="S141" t="s">
        <v>188</v>
      </c>
      <c r="T141" t="s">
        <v>3072</v>
      </c>
      <c r="U141" t="s">
        <v>62</v>
      </c>
      <c r="V141">
        <v>4053771177</v>
      </c>
      <c r="W141" s="1">
        <v>8925370</v>
      </c>
      <c r="X141">
        <v>40</v>
      </c>
      <c r="Y141">
        <v>40</v>
      </c>
      <c r="Z141">
        <v>1979</v>
      </c>
      <c r="AA141" t="s">
        <v>70</v>
      </c>
      <c r="AB141" t="s">
        <v>3073</v>
      </c>
      <c r="AC141" t="s">
        <v>98</v>
      </c>
      <c r="AD141" t="s">
        <v>99</v>
      </c>
      <c r="AE141">
        <v>1311</v>
      </c>
      <c r="AF141" t="s">
        <v>100</v>
      </c>
      <c r="AI141">
        <v>13110101</v>
      </c>
      <c r="AJ141" t="s">
        <v>102</v>
      </c>
      <c r="AM141">
        <v>211120</v>
      </c>
      <c r="AN141" t="s">
        <v>104</v>
      </c>
      <c r="AQ141" t="s">
        <v>75</v>
      </c>
      <c r="AT141" t="s">
        <v>76</v>
      </c>
      <c r="BF141">
        <v>0</v>
      </c>
      <c r="BG141">
        <v>0</v>
      </c>
      <c r="CK141" s="19">
        <f>IF(BQ141&gt;0,BQ141,W141)</f>
        <v>8925370</v>
      </c>
      <c r="CL141" s="20">
        <f>IF(BS141&gt;0,BS141,Y141)</f>
        <v>40</v>
      </c>
      <c r="CM141" s="34">
        <f>IF(CG141&gt;0,CG141,AM141)</f>
        <v>211120</v>
      </c>
      <c r="CN141" s="80">
        <f>IF($BH141="",1,COUNTIF($BH$3:$BH141,$BH141))</f>
        <v>1</v>
      </c>
      <c r="CP141" t="str">
        <f>IF($K141="Standard Match","Match",IF($K141="Name Only Match",IF($CO141="Yes","Match","Name Only Match"),"No Match"))</f>
        <v>Match</v>
      </c>
      <c r="CQ141" s="35" t="str">
        <f>IF(AND(CP141="Match",CK141&gt;0,CL141&gt;0),"Y","N")</f>
        <v>Y</v>
      </c>
      <c r="CS141" t="str">
        <f>IF($CQ141="Y",VLOOKUP($CM141,'SBA Size Standards'!$B$3:$G$57,MATCH('SBA Size Standards'!$G$3,'SBA Size Standards'!$B$3:$G$3,0),FALSE),"")</f>
        <v>Employment</v>
      </c>
      <c r="CT141" s="60" t="str">
        <f>IF(CQ141="Y",IF($CS141="Employment","N/A",VLOOKUP($CM141,'SBA Size Standards'!$B$3:$G$57,MATCH('SBA Size Standards'!$E$3,'SBA Size Standards'!$B$3:$G$3,0),FALSE)),"")</f>
        <v>N/A</v>
      </c>
      <c r="CU141" s="86">
        <f>IF($CQ141="Y",IF($CS141="Revenue","N/A",VLOOKUP($CM141,'SBA Size Standards'!$B$3:$G$57,MATCH('SBA Size Standards'!$F$3,'SBA Size Standards'!$B$3:$G$3,0),FALSE)),"")</f>
        <v>1250</v>
      </c>
      <c r="CV141" t="str">
        <f>IF($CQ141="Y",IF(OR(AND($CS141="Employment",$CL141&lt;$CU141),AND($CS141="Revenue",$CK141&lt;$CT141)),"YES","NO"),"")</f>
        <v>YES</v>
      </c>
      <c r="CW141" s="90" t="str">
        <f>IF($CQ141="Y",INDEX('SBA Size Standards'!$N$3:$N$12,MATCH($CK141,'SBA Size Standards'!$O$3:$O$12,1)),"")</f>
        <v>$5,000,001 - $100,000,000</v>
      </c>
      <c r="CX141" s="122" t="s">
        <v>4753</v>
      </c>
      <c r="CY141" s="122">
        <f>INDEX('NM O&amp;G Production'!$P$3:$P$537,MATCH(CX141,'NM O&amp;G Production'!$Q$3:$Q$537,0))</f>
        <v>448</v>
      </c>
      <c r="CZ141" s="122" t="str">
        <f>INDEX('NM O&amp;G Production'!$O$3:$O$537,MATCH(CY141,'NM O&amp;G Production'!$P$3:$P$537,0))</f>
        <v>Yes</v>
      </c>
      <c r="DA141" s="127">
        <f>INDEX('NM O&amp;G Production'!$K$3:$O$537,MATCH($CY141,'NM O&amp;G Production'!$P$3:$P$537,0),MATCH(DA$2,'NM O&amp;G Production'!$K$2:$O$2,0))</f>
        <v>8</v>
      </c>
      <c r="DB141" s="127">
        <f>INDEX('NM O&amp;G Production'!$K$3:$O$537,MATCH($CY141,'NM O&amp;G Production'!$P$3:$P$537,0),MATCH(DB$2,'NM O&amp;G Production'!$K$2:$O$2,0))</f>
        <v>13</v>
      </c>
      <c r="DC141" s="127">
        <f>DA141+DB141</f>
        <v>21</v>
      </c>
      <c r="DD141" s="127">
        <f>INDEX('NM O&amp;G Production'!$K$3:$O$537,MATCH($CY141,'NM O&amp;G Production'!$P$3:$P$537,0),MATCH(DD$2,'NM O&amp;G Production'!$K$2:$O$2,0))</f>
        <v>144644</v>
      </c>
      <c r="DE141" s="127">
        <f>INDEX('NM O&amp;G Production'!$K$3:$O$537,MATCH($CY141,'NM O&amp;G Production'!$P$3:$P$537,0),MATCH(DE$2,'NM O&amp;G Production'!$K$2:$O$2,0))</f>
        <v>29644</v>
      </c>
      <c r="DF141" s="258">
        <f>CK141/(DB141+DA141)</f>
        <v>425017.61904761905</v>
      </c>
      <c r="DG141" s="57">
        <f>DD141*(12/18)*1.06*'Oil and Gas Prices'!$C$18</f>
        <v>244294.07306666669</v>
      </c>
      <c r="DH141" s="284">
        <f>DE141*(12/18)*'Oil and Gas Prices'!$C$4</f>
        <v>889319.99999999988</v>
      </c>
      <c r="DI141" s="284">
        <f>DG141+DH141</f>
        <v>1133614.0730666665</v>
      </c>
      <c r="DJ141" s="57">
        <f>(DG141+DH141)/(DA141+DB141)</f>
        <v>53981.622526984116</v>
      </c>
      <c r="DK141" s="319"/>
    </row>
    <row r="142" spans="1:115" x14ac:dyDescent="0.25">
      <c r="A142" s="21" t="s">
        <v>3604</v>
      </c>
      <c r="B142" s="21" t="s">
        <v>293</v>
      </c>
      <c r="C142" s="21"/>
      <c r="D142" s="21" t="s">
        <v>206</v>
      </c>
      <c r="E142" s="21" t="s">
        <v>84</v>
      </c>
      <c r="F142">
        <v>88240</v>
      </c>
      <c r="G142" t="s">
        <v>62</v>
      </c>
      <c r="I142">
        <v>532</v>
      </c>
      <c r="J142" t="s">
        <v>89</v>
      </c>
      <c r="K142" t="s">
        <v>4134</v>
      </c>
      <c r="L142" t="s">
        <v>3627</v>
      </c>
      <c r="M142">
        <v>8</v>
      </c>
      <c r="N142" t="s">
        <v>4047</v>
      </c>
      <c r="O142" s="21" t="s">
        <v>4048</v>
      </c>
      <c r="P142" s="21"/>
      <c r="Q142" s="21" t="s">
        <v>4049</v>
      </c>
      <c r="R142" s="21" t="s">
        <v>513</v>
      </c>
      <c r="S142" s="21" t="s">
        <v>214</v>
      </c>
      <c r="T142">
        <v>88231</v>
      </c>
      <c r="U142" t="s">
        <v>62</v>
      </c>
      <c r="V142">
        <v>5053942545</v>
      </c>
      <c r="W142" s="23">
        <v>8800000</v>
      </c>
      <c r="X142" s="21">
        <v>60</v>
      </c>
      <c r="Y142" s="21">
        <v>60</v>
      </c>
      <c r="Z142">
        <v>1971</v>
      </c>
      <c r="AA142" s="21" t="s">
        <v>70</v>
      </c>
      <c r="AB142" t="s">
        <v>4050</v>
      </c>
      <c r="AC142" t="s">
        <v>242</v>
      </c>
      <c r="AD142" s="21" t="s">
        <v>99</v>
      </c>
      <c r="AE142">
        <v>1311</v>
      </c>
      <c r="AF142" t="s">
        <v>100</v>
      </c>
      <c r="AI142">
        <v>13110101</v>
      </c>
      <c r="AJ142" t="s">
        <v>102</v>
      </c>
      <c r="AM142" s="21">
        <v>211120</v>
      </c>
      <c r="AN142" s="21" t="s">
        <v>104</v>
      </c>
      <c r="AO142" s="21"/>
      <c r="AP142" s="21"/>
      <c r="AQ142" s="21" t="s">
        <v>75</v>
      </c>
      <c r="AT142" t="s">
        <v>76</v>
      </c>
      <c r="BF142">
        <v>0</v>
      </c>
      <c r="BG142" s="24">
        <v>0</v>
      </c>
      <c r="BH142" s="24"/>
      <c r="BI142" s="24"/>
      <c r="BJ142" s="24"/>
      <c r="BK142" s="24"/>
      <c r="BL142" s="24"/>
      <c r="BM142" s="24"/>
      <c r="BN142" s="24"/>
      <c r="BO142" s="24"/>
      <c r="BQ142" s="24"/>
      <c r="BR142" s="24"/>
      <c r="BS142" s="24"/>
      <c r="BU142" s="24"/>
      <c r="BX142" s="24"/>
      <c r="CG142" s="24"/>
      <c r="CH142" s="24"/>
      <c r="CI142" s="24"/>
      <c r="CJ142" s="24"/>
      <c r="CK142" s="19">
        <f>IF(BQ142&gt;0,BQ142,W142)</f>
        <v>8800000</v>
      </c>
      <c r="CL142" s="20">
        <f>IF(BS142&gt;0,BS142,Y142)</f>
        <v>60</v>
      </c>
      <c r="CM142" s="34">
        <f>IF(CG142&gt;0,CG142,AM142)</f>
        <v>211120</v>
      </c>
      <c r="CN142" s="80">
        <f>IF($BH142="",1,COUNTIF($BH$3:$BH142,$BH142))</f>
        <v>1</v>
      </c>
      <c r="CO142" s="33" t="s">
        <v>4386</v>
      </c>
      <c r="CP142" t="str">
        <f>IF($K142="Standard Match","Match",IF($K142="Name Only Match",IF($CO142="Yes","Match","Name Only Match"),"No Match"))</f>
        <v>Match</v>
      </c>
      <c r="CQ142" s="35" t="str">
        <f>IF(AND(CP142="Match",CK142&gt;0,CL142&gt;0),"Y","N")</f>
        <v>Y</v>
      </c>
      <c r="CR142" s="21"/>
      <c r="CS142" t="str">
        <f>IF($CQ142="Y",VLOOKUP($CM142,'SBA Size Standards'!$B$3:$G$57,MATCH('SBA Size Standards'!$G$3,'SBA Size Standards'!$B$3:$G$3,0),FALSE),"")</f>
        <v>Employment</v>
      </c>
      <c r="CT142" s="60" t="str">
        <f>IF(CQ142="Y",IF($CS142="Employment","N/A",VLOOKUP($CM142,'SBA Size Standards'!$B$3:$G$57,MATCH('SBA Size Standards'!$E$3,'SBA Size Standards'!$B$3:$G$3,0),FALSE)),"")</f>
        <v>N/A</v>
      </c>
      <c r="CU142" s="86">
        <f>IF($CQ142="Y",IF($CS142="Revenue","N/A",VLOOKUP($CM142,'SBA Size Standards'!$B$3:$G$57,MATCH('SBA Size Standards'!$F$3,'SBA Size Standards'!$B$3:$G$3,0),FALSE)),"")</f>
        <v>1250</v>
      </c>
      <c r="CV142" t="str">
        <f>IF($CQ142="Y",IF(OR(AND($CS142="Employment",$CL142&lt;$CU142),AND($CS142="Revenue",$CK142&lt;$CT142)),"YES","NO"),"")</f>
        <v>YES</v>
      </c>
      <c r="CW142" s="90" t="str">
        <f>IF($CQ142="Y",INDEX('SBA Size Standards'!$N$3:$N$12,MATCH($CK142,'SBA Size Standards'!$O$3:$O$12,1)),"")</f>
        <v>$5,000,001 - $100,000,000</v>
      </c>
      <c r="CX142" s="122" t="s">
        <v>5005</v>
      </c>
      <c r="CY142" s="122">
        <f>INDEX('NM O&amp;G Production'!$P$3:$P$537,MATCH(CX142,'NM O&amp;G Production'!$Q$3:$Q$537,0))</f>
        <v>532</v>
      </c>
      <c r="CZ142" s="122" t="str">
        <f>INDEX('NM O&amp;G Production'!$O$3:$O$537,MATCH(CY142,'NM O&amp;G Production'!$P$3:$P$537,0))</f>
        <v>Yes</v>
      </c>
      <c r="DA142" s="127">
        <f>INDEX('NM O&amp;G Production'!$K$3:$O$537,MATCH($CY142,'NM O&amp;G Production'!$P$3:$P$537,0),MATCH(DA$2,'NM O&amp;G Production'!$K$2:$O$2,0))</f>
        <v>0</v>
      </c>
      <c r="DB142" s="127">
        <f>INDEX('NM O&amp;G Production'!$K$3:$O$537,MATCH($CY142,'NM O&amp;G Production'!$P$3:$P$537,0),MATCH(DB$2,'NM O&amp;G Production'!$K$2:$O$2,0))</f>
        <v>6</v>
      </c>
      <c r="DC142" s="127">
        <f>DA142+DB142</f>
        <v>6</v>
      </c>
      <c r="DD142" s="127">
        <f>INDEX('NM O&amp;G Production'!$K$3:$O$537,MATCH($CY142,'NM O&amp;G Production'!$P$3:$P$537,0),MATCH(DD$2,'NM O&amp;G Production'!$K$2:$O$2,0))</f>
        <v>7158</v>
      </c>
      <c r="DE142" s="127">
        <f>INDEX('NM O&amp;G Production'!$K$3:$O$537,MATCH($CY142,'NM O&amp;G Production'!$P$3:$P$537,0),MATCH(DE$2,'NM O&amp;G Production'!$K$2:$O$2,0))</f>
        <v>1859</v>
      </c>
      <c r="DF142" s="258">
        <f>CK142/(DB142+DA142)</f>
        <v>1466666.6666666667</v>
      </c>
      <c r="DG142" s="57">
        <f>DD142*(12/18)*1.06*'Oil and Gas Prices'!$C$18</f>
        <v>12089.384800000002</v>
      </c>
      <c r="DH142" s="284">
        <f>DE142*(12/18)*'Oil and Gas Prices'!$C$4</f>
        <v>55770</v>
      </c>
      <c r="DI142" s="284">
        <f>DG142+DH142</f>
        <v>67859.3848</v>
      </c>
      <c r="DJ142" s="57">
        <f>(DG142+DH142)/(DA142+DB142)</f>
        <v>11309.897466666667</v>
      </c>
      <c r="DK142" s="318"/>
    </row>
    <row r="143" spans="1:115" x14ac:dyDescent="0.25">
      <c r="A143" t="s">
        <v>1362</v>
      </c>
      <c r="B143" t="s">
        <v>1363</v>
      </c>
      <c r="D143" t="s">
        <v>1364</v>
      </c>
      <c r="E143" t="s">
        <v>84</v>
      </c>
      <c r="F143">
        <v>88252</v>
      </c>
      <c r="G143" t="s">
        <v>62</v>
      </c>
      <c r="I143">
        <v>181</v>
      </c>
      <c r="J143" t="s">
        <v>63</v>
      </c>
      <c r="K143" t="s">
        <v>4133</v>
      </c>
      <c r="L143" t="s">
        <v>149</v>
      </c>
      <c r="M143">
        <v>10</v>
      </c>
      <c r="N143" t="s">
        <v>1365</v>
      </c>
      <c r="O143" t="s">
        <v>1366</v>
      </c>
      <c r="Q143" t="s">
        <v>1367</v>
      </c>
      <c r="R143" t="s">
        <v>1364</v>
      </c>
      <c r="S143" t="s">
        <v>214</v>
      </c>
      <c r="T143">
        <v>88252</v>
      </c>
      <c r="U143" t="s">
        <v>62</v>
      </c>
      <c r="V143">
        <v>5753959970</v>
      </c>
      <c r="W143" s="1">
        <v>8760678</v>
      </c>
      <c r="X143">
        <v>20</v>
      </c>
      <c r="Y143">
        <v>20</v>
      </c>
      <c r="Z143">
        <v>2007</v>
      </c>
      <c r="AA143" t="s">
        <v>70</v>
      </c>
      <c r="AB143" t="s">
        <v>1368</v>
      </c>
      <c r="AC143" t="s">
        <v>145</v>
      </c>
      <c r="AD143" t="s">
        <v>1369</v>
      </c>
      <c r="AE143">
        <v>5154</v>
      </c>
      <c r="AF143" t="s">
        <v>1370</v>
      </c>
      <c r="AG143">
        <v>1389</v>
      </c>
      <c r="AH143" t="s">
        <v>72</v>
      </c>
      <c r="AI143">
        <v>51549902</v>
      </c>
      <c r="AJ143" t="s">
        <v>1371</v>
      </c>
      <c r="AK143">
        <v>13899912</v>
      </c>
      <c r="AL143" t="s">
        <v>426</v>
      </c>
      <c r="AM143">
        <v>424520</v>
      </c>
      <c r="AN143" t="s">
        <v>1372</v>
      </c>
      <c r="AO143">
        <v>213112</v>
      </c>
      <c r="AP143" t="s">
        <v>74</v>
      </c>
      <c r="AQ143" t="s">
        <v>75</v>
      </c>
      <c r="AT143" t="s">
        <v>76</v>
      </c>
      <c r="BF143">
        <v>0</v>
      </c>
      <c r="BG143">
        <v>0</v>
      </c>
      <c r="CK143" s="19">
        <f>IF(BQ143&gt;0,BQ143,W143)</f>
        <v>8760678</v>
      </c>
      <c r="CL143" s="20">
        <f>IF(BS143&gt;0,BS143,Y143)</f>
        <v>20</v>
      </c>
      <c r="CM143" s="34">
        <f>IF(CG143&gt;0,CG143,AM143)</f>
        <v>424520</v>
      </c>
      <c r="CN143" s="80">
        <f>IF($BH143="",1,COUNTIF($BH$3:$BH143,$BH143))</f>
        <v>1</v>
      </c>
      <c r="CP143" t="str">
        <f>IF($K143="Standard Match","Match",IF($K143="Name Only Match",IF($CO143="Yes","Match","Name Only Match"),"No Match"))</f>
        <v>Match</v>
      </c>
      <c r="CQ143" s="35" t="str">
        <f>IF(AND(CP143="Match",CK143&gt;0,CL143&gt;0),"Y","N")</f>
        <v>Y</v>
      </c>
      <c r="CS143" t="str">
        <f>IF($CQ143="Y",VLOOKUP($CM143,'SBA Size Standards'!$B$3:$G$57,MATCH('SBA Size Standards'!$G$3,'SBA Size Standards'!$B$3:$G$3,0),FALSE),"")</f>
        <v>Employment</v>
      </c>
      <c r="CT143" s="60" t="str">
        <f>IF(CQ143="Y",IF($CS143="Employment","N/A",VLOOKUP($CM143,'SBA Size Standards'!$B$3:$G$57,MATCH('SBA Size Standards'!$E$3,'SBA Size Standards'!$B$3:$G$3,0),FALSE)),"")</f>
        <v>N/A</v>
      </c>
      <c r="CU143" s="86">
        <f>IF($CQ143="Y",IF($CS143="Revenue","N/A",VLOOKUP($CM143,'SBA Size Standards'!$B$3:$G$57,MATCH('SBA Size Standards'!$F$3,'SBA Size Standards'!$B$3:$G$3,0),FALSE)),"")</f>
        <v>100</v>
      </c>
      <c r="CV143" t="str">
        <f>IF($CQ143="Y",IF(OR(AND($CS143="Employment",$CL143&lt;$CU143),AND($CS143="Revenue",$CK143&lt;$CT143)),"YES","NO"),"")</f>
        <v>YES</v>
      </c>
      <c r="CW143" s="90" t="str">
        <f>IF($CQ143="Y",INDEX('SBA Size Standards'!$N$3:$N$12,MATCH($CK143,'SBA Size Standards'!$O$3:$O$12,1)),"")</f>
        <v>$5,000,001 - $100,000,000</v>
      </c>
      <c r="CX143" s="122" t="s">
        <v>4615</v>
      </c>
      <c r="CY143" s="122">
        <f>INDEX('NM O&amp;G Production'!$P$3:$P$537,MATCH(CX143,'NM O&amp;G Production'!$Q$3:$Q$537,0))</f>
        <v>181</v>
      </c>
      <c r="CZ143" s="122" t="str">
        <f>INDEX('NM O&amp;G Production'!$O$3:$O$537,MATCH(CY143,'NM O&amp;G Production'!$P$3:$P$537,0))</f>
        <v>Yes</v>
      </c>
      <c r="DA143" s="127">
        <f>INDEX('NM O&amp;G Production'!$K$3:$O$537,MATCH($CY143,'NM O&amp;G Production'!$P$3:$P$537,0),MATCH(DA$2,'NM O&amp;G Production'!$K$2:$O$2,0))</f>
        <v>31</v>
      </c>
      <c r="DB143" s="127">
        <f>INDEX('NM O&amp;G Production'!$K$3:$O$537,MATCH($CY143,'NM O&amp;G Production'!$P$3:$P$537,0),MATCH(DB$2,'NM O&amp;G Production'!$K$2:$O$2,0))</f>
        <v>89</v>
      </c>
      <c r="DC143" s="127">
        <f>DA143+DB143</f>
        <v>120</v>
      </c>
      <c r="DD143" s="127">
        <f>INDEX('NM O&amp;G Production'!$K$3:$O$537,MATCH($CY143,'NM O&amp;G Production'!$P$3:$P$537,0),MATCH(DD$2,'NM O&amp;G Production'!$K$2:$O$2,0))</f>
        <v>160787</v>
      </c>
      <c r="DE143" s="127">
        <f>INDEX('NM O&amp;G Production'!$K$3:$O$537,MATCH($CY143,'NM O&amp;G Production'!$P$3:$P$537,0),MATCH(DE$2,'NM O&amp;G Production'!$K$2:$O$2,0))</f>
        <v>41016</v>
      </c>
      <c r="DF143" s="258">
        <f>CK143/(DB143+DA143)</f>
        <v>73005.649999999994</v>
      </c>
      <c r="DG143" s="57">
        <f>DD143*(12/18)*1.06*'Oil and Gas Prices'!$C$18</f>
        <v>271558.52386666671</v>
      </c>
      <c r="DH143" s="284">
        <f>DE143*(12/18)*'Oil and Gas Prices'!$C$4</f>
        <v>1230480</v>
      </c>
      <c r="DI143" s="284">
        <f>DG143+DH143</f>
        <v>1502038.5238666667</v>
      </c>
      <c r="DJ143" s="57">
        <f>(DG143+DH143)/(DA143+DB143)</f>
        <v>12516.98769888889</v>
      </c>
      <c r="DK143" s="319"/>
    </row>
    <row r="144" spans="1:115" x14ac:dyDescent="0.25">
      <c r="A144" t="s">
        <v>435</v>
      </c>
      <c r="B144" t="s">
        <v>436</v>
      </c>
      <c r="D144" t="s">
        <v>437</v>
      </c>
      <c r="E144" t="s">
        <v>80</v>
      </c>
      <c r="F144">
        <v>75606</v>
      </c>
      <c r="G144" t="s">
        <v>62</v>
      </c>
      <c r="I144">
        <v>53</v>
      </c>
      <c r="J144" t="s">
        <v>63</v>
      </c>
      <c r="K144" t="s">
        <v>4133</v>
      </c>
      <c r="L144" t="s">
        <v>149</v>
      </c>
      <c r="M144">
        <v>10</v>
      </c>
      <c r="N144" t="s">
        <v>438</v>
      </c>
      <c r="O144" t="s">
        <v>439</v>
      </c>
      <c r="P144" t="s">
        <v>440</v>
      </c>
      <c r="Q144" t="s">
        <v>441</v>
      </c>
      <c r="R144" t="s">
        <v>437</v>
      </c>
      <c r="S144" t="s">
        <v>94</v>
      </c>
      <c r="T144">
        <v>75603</v>
      </c>
      <c r="U144" t="s">
        <v>62</v>
      </c>
      <c r="V144">
        <v>9039888199</v>
      </c>
      <c r="W144" s="1">
        <v>8739628</v>
      </c>
      <c r="X144">
        <v>17</v>
      </c>
      <c r="Y144">
        <v>17</v>
      </c>
      <c r="Z144">
        <v>1982</v>
      </c>
      <c r="AA144" t="s">
        <v>70</v>
      </c>
      <c r="AB144" t="s">
        <v>442</v>
      </c>
      <c r="AC144" t="s">
        <v>98</v>
      </c>
      <c r="AD144" t="s">
        <v>99</v>
      </c>
      <c r="AE144">
        <v>1311</v>
      </c>
      <c r="AF144" t="s">
        <v>100</v>
      </c>
      <c r="AG144">
        <v>1382</v>
      </c>
      <c r="AH144" t="s">
        <v>120</v>
      </c>
      <c r="AI144">
        <v>13110101</v>
      </c>
      <c r="AJ144" t="s">
        <v>102</v>
      </c>
      <c r="AK144">
        <v>13820000</v>
      </c>
      <c r="AL144" t="s">
        <v>119</v>
      </c>
      <c r="AM144">
        <v>211120</v>
      </c>
      <c r="AN144" t="s">
        <v>104</v>
      </c>
      <c r="AO144">
        <v>213112</v>
      </c>
      <c r="AP144" t="s">
        <v>74</v>
      </c>
      <c r="AQ144" t="s">
        <v>75</v>
      </c>
      <c r="AT144" t="s">
        <v>76</v>
      </c>
      <c r="BF144">
        <v>0</v>
      </c>
      <c r="BG144">
        <v>0</v>
      </c>
      <c r="CK144" s="19">
        <f>IF(BQ144&gt;0,BQ144,W144)</f>
        <v>8739628</v>
      </c>
      <c r="CL144" s="20">
        <f>IF(BS144&gt;0,BS144,Y144)</f>
        <v>17</v>
      </c>
      <c r="CM144" s="34">
        <f>IF(CG144&gt;0,CG144,AM144)</f>
        <v>211120</v>
      </c>
      <c r="CN144" s="80">
        <f>IF($BH144="",1,COUNTIF($BH$3:$BH144,$BH144))</f>
        <v>1</v>
      </c>
      <c r="CP144" t="str">
        <f>IF($K144="Standard Match","Match",IF($K144="Name Only Match",IF($CO144="Yes","Match","Name Only Match"),"No Match"))</f>
        <v>Match</v>
      </c>
      <c r="CQ144" s="35" t="str">
        <f>IF(AND(CP144="Match",CK144&gt;0,CL144&gt;0),"Y","N")</f>
        <v>Y</v>
      </c>
      <c r="CS144" t="str">
        <f>IF($CQ144="Y",VLOOKUP($CM144,'SBA Size Standards'!$B$3:$G$57,MATCH('SBA Size Standards'!$G$3,'SBA Size Standards'!$B$3:$G$3,0),FALSE),"")</f>
        <v>Employment</v>
      </c>
      <c r="CT144" s="60" t="str">
        <f>IF(CQ144="Y",IF($CS144="Employment","N/A",VLOOKUP($CM144,'SBA Size Standards'!$B$3:$G$57,MATCH('SBA Size Standards'!$E$3,'SBA Size Standards'!$B$3:$G$3,0),FALSE)),"")</f>
        <v>N/A</v>
      </c>
      <c r="CU144" s="86">
        <f>IF($CQ144="Y",IF($CS144="Revenue","N/A",VLOOKUP($CM144,'SBA Size Standards'!$B$3:$G$57,MATCH('SBA Size Standards'!$F$3,'SBA Size Standards'!$B$3:$G$3,0),FALSE)),"")</f>
        <v>1250</v>
      </c>
      <c r="CV144" t="str">
        <f>IF($CQ144="Y",IF(OR(AND($CS144="Employment",$CL144&lt;$CU144),AND($CS144="Revenue",$CK144&lt;$CT144)),"YES","NO"),"")</f>
        <v>YES</v>
      </c>
      <c r="CW144" s="90" t="str">
        <f>IF($CQ144="Y",INDEX('SBA Size Standards'!$N$3:$N$12,MATCH($CK144,'SBA Size Standards'!$O$3:$O$12,1)),"")</f>
        <v>$5,000,001 - $100,000,000</v>
      </c>
      <c r="CX144" s="122" t="s">
        <v>4553</v>
      </c>
      <c r="CY144" s="122">
        <f>INDEX('NM O&amp;G Production'!$P$3:$P$537,MATCH(CX144,'NM O&amp;G Production'!$Q$3:$Q$537,0))</f>
        <v>53</v>
      </c>
      <c r="CZ144" s="122" t="str">
        <f>INDEX('NM O&amp;G Production'!$O$3:$O$537,MATCH(CY144,'NM O&amp;G Production'!$P$3:$P$537,0))</f>
        <v>Yes</v>
      </c>
      <c r="DA144" s="127">
        <f>INDEX('NM O&amp;G Production'!$K$3:$O$537,MATCH($CY144,'NM O&amp;G Production'!$P$3:$P$537,0),MATCH(DA$2,'NM O&amp;G Production'!$K$2:$O$2,0))</f>
        <v>1</v>
      </c>
      <c r="DB144" s="127">
        <f>INDEX('NM O&amp;G Production'!$K$3:$O$537,MATCH($CY144,'NM O&amp;G Production'!$P$3:$P$537,0),MATCH(DB$2,'NM O&amp;G Production'!$K$2:$O$2,0))</f>
        <v>0</v>
      </c>
      <c r="DC144" s="127">
        <f>DA144+DB144</f>
        <v>1</v>
      </c>
      <c r="DD144" s="127">
        <f>INDEX('NM O&amp;G Production'!$K$3:$O$537,MATCH($CY144,'NM O&amp;G Production'!$P$3:$P$537,0),MATCH(DD$2,'NM O&amp;G Production'!$K$2:$O$2,0))</f>
        <v>505</v>
      </c>
      <c r="DE144" s="127">
        <f>INDEX('NM O&amp;G Production'!$K$3:$O$537,MATCH($CY144,'NM O&amp;G Production'!$P$3:$P$537,0),MATCH(DE$2,'NM O&amp;G Production'!$K$2:$O$2,0))</f>
        <v>0</v>
      </c>
      <c r="DF144" s="258">
        <f>CK144/(DB144+DA144)</f>
        <v>8739628</v>
      </c>
      <c r="DG144" s="57">
        <f>DD144*(12/18)*1.06*'Oil and Gas Prices'!$C$18</f>
        <v>852.91133333333323</v>
      </c>
      <c r="DH144" s="284">
        <f>DE144*(12/18)*'Oil and Gas Prices'!$C$4</f>
        <v>0</v>
      </c>
      <c r="DI144" s="284">
        <f>DG144+DH144</f>
        <v>852.91133333333323</v>
      </c>
      <c r="DJ144" s="57">
        <f>(DG144+DH144)/(DA144+DB144)</f>
        <v>852.91133333333323</v>
      </c>
      <c r="DK144" s="318"/>
    </row>
    <row r="145" spans="1:115" x14ac:dyDescent="0.25">
      <c r="A145" t="s">
        <v>3280</v>
      </c>
      <c r="B145" t="s">
        <v>3281</v>
      </c>
      <c r="D145" t="s">
        <v>126</v>
      </c>
      <c r="E145" t="s">
        <v>80</v>
      </c>
      <c r="F145">
        <v>78735</v>
      </c>
      <c r="G145" t="s">
        <v>62</v>
      </c>
      <c r="I145">
        <v>483</v>
      </c>
      <c r="J145" t="s">
        <v>63</v>
      </c>
      <c r="K145" t="s">
        <v>4133</v>
      </c>
      <c r="L145" t="s">
        <v>64</v>
      </c>
      <c r="M145">
        <v>10</v>
      </c>
      <c r="N145" t="s">
        <v>3282</v>
      </c>
      <c r="O145" t="s">
        <v>3280</v>
      </c>
      <c r="Q145" t="s">
        <v>3283</v>
      </c>
      <c r="R145" t="s">
        <v>126</v>
      </c>
      <c r="S145" t="s">
        <v>94</v>
      </c>
      <c r="T145" t="s">
        <v>3284</v>
      </c>
      <c r="U145" t="s">
        <v>62</v>
      </c>
      <c r="V145">
        <v>5126003190</v>
      </c>
      <c r="W145" s="1">
        <v>8510884</v>
      </c>
      <c r="X145">
        <v>15</v>
      </c>
      <c r="Y145">
        <v>15</v>
      </c>
      <c r="Z145">
        <v>2010</v>
      </c>
      <c r="AA145" t="s">
        <v>70</v>
      </c>
      <c r="AB145" t="s">
        <v>3285</v>
      </c>
      <c r="AC145" t="s">
        <v>145</v>
      </c>
      <c r="AD145" t="s">
        <v>119</v>
      </c>
      <c r="AE145">
        <v>1382</v>
      </c>
      <c r="AF145" t="s">
        <v>120</v>
      </c>
      <c r="AI145">
        <v>13820000</v>
      </c>
      <c r="AJ145" t="s">
        <v>119</v>
      </c>
      <c r="AM145">
        <v>213112</v>
      </c>
      <c r="AN145" t="s">
        <v>74</v>
      </c>
      <c r="AQ145" t="s">
        <v>75</v>
      </c>
      <c r="AT145" t="s">
        <v>76</v>
      </c>
      <c r="BF145">
        <v>0</v>
      </c>
      <c r="BG145">
        <v>0</v>
      </c>
      <c r="CK145" s="19">
        <f>IF(BQ145&gt;0,BQ145,W145)</f>
        <v>8510884</v>
      </c>
      <c r="CL145" s="20">
        <f>IF(BS145&gt;0,BS145,Y145)</f>
        <v>15</v>
      </c>
      <c r="CM145" s="34">
        <f>IF(CG145&gt;0,CG145,AM145)</f>
        <v>213112</v>
      </c>
      <c r="CN145" s="80">
        <f>IF($BH145="",1,COUNTIF($BH$3:$BH145,$BH145))</f>
        <v>1</v>
      </c>
      <c r="CP145" t="str">
        <f>IF($K145="Standard Match","Match",IF($K145="Name Only Match",IF($CO145="Yes","Match","Name Only Match"),"No Match"))</f>
        <v>Match</v>
      </c>
      <c r="CQ145" s="35" t="str">
        <f>IF(AND(CP145="Match",CK145&gt;0,CL145&gt;0),"Y","N")</f>
        <v>Y</v>
      </c>
      <c r="CS145" t="str">
        <f>IF($CQ145="Y",VLOOKUP($CM145,'SBA Size Standards'!$B$3:$G$57,MATCH('SBA Size Standards'!$G$3,'SBA Size Standards'!$B$3:$G$3,0),FALSE),"")</f>
        <v>Revenue</v>
      </c>
      <c r="CT145" s="60">
        <f>IF(CQ145="Y",IF($CS145="Employment","N/A",VLOOKUP($CM145,'SBA Size Standards'!$B$3:$G$57,MATCH('SBA Size Standards'!$E$3,'SBA Size Standards'!$B$3:$G$3,0),FALSE)),"")</f>
        <v>41500000</v>
      </c>
      <c r="CU145" s="86" t="str">
        <f>IF($CQ145="Y",IF($CS145="Revenue","N/A",VLOOKUP($CM145,'SBA Size Standards'!$B$3:$G$57,MATCH('SBA Size Standards'!$F$3,'SBA Size Standards'!$B$3:$G$3,0),FALSE)),"")</f>
        <v>N/A</v>
      </c>
      <c r="CV145" t="str">
        <f>IF($CQ145="Y",IF(OR(AND($CS145="Employment",$CL145&lt;$CU145),AND($CS145="Revenue",$CK145&lt;$CT145)),"YES","NO"),"")</f>
        <v>YES</v>
      </c>
      <c r="CW145" s="90" t="str">
        <f>IF($CQ145="Y",INDEX('SBA Size Standards'!$N$3:$N$12,MATCH($CK145,'SBA Size Standards'!$O$3:$O$12,1)),"")</f>
        <v>$5,000,001 - $100,000,000</v>
      </c>
      <c r="CX145" s="122" t="s">
        <v>4768</v>
      </c>
      <c r="CY145" s="122">
        <f>INDEX('NM O&amp;G Production'!$P$3:$P$537,MATCH(CX145,'NM O&amp;G Production'!$Q$3:$Q$537,0))</f>
        <v>483</v>
      </c>
      <c r="CZ145" s="122" t="str">
        <f>INDEX('NM O&amp;G Production'!$O$3:$O$537,MATCH(CY145,'NM O&amp;G Production'!$P$3:$P$537,0))</f>
        <v>No</v>
      </c>
      <c r="DA145" s="127">
        <f>INDEX('NM O&amp;G Production'!$K$3:$O$537,MATCH($CY145,'NM O&amp;G Production'!$P$3:$P$537,0),MATCH(DA$2,'NM O&amp;G Production'!$K$2:$O$2,0))</f>
        <v>0</v>
      </c>
      <c r="DB145" s="127">
        <f>INDEX('NM O&amp;G Production'!$K$3:$O$537,MATCH($CY145,'NM O&amp;G Production'!$P$3:$P$537,0),MATCH(DB$2,'NM O&amp;G Production'!$K$2:$O$2,0))</f>
        <v>0</v>
      </c>
      <c r="DC145" s="127"/>
      <c r="DD145" s="127">
        <f>INDEX('NM O&amp;G Production'!$K$3:$O$537,MATCH($CY145,'NM O&amp;G Production'!$P$3:$P$537,0),MATCH(DD$2,'NM O&amp;G Production'!$K$2:$O$2,0))</f>
        <v>0</v>
      </c>
      <c r="DE145" s="127">
        <f>INDEX('NM O&amp;G Production'!$K$3:$O$537,MATCH($CY145,'NM O&amp;G Production'!$P$3:$P$537,0),MATCH(DE$2,'NM O&amp;G Production'!$K$2:$O$2,0))</f>
        <v>0</v>
      </c>
      <c r="DF145" s="258" t="e">
        <f>CK145/(DB145+DA145)</f>
        <v>#DIV/0!</v>
      </c>
      <c r="DG145" s="57">
        <f>DD145*(12/18)*1.06*'Oil and Gas Prices'!$C$18</f>
        <v>0</v>
      </c>
      <c r="DH145" s="284">
        <f>DE145*(12/18)*'Oil and Gas Prices'!$C$4</f>
        <v>0</v>
      </c>
      <c r="DI145" s="284"/>
      <c r="DJ145" s="57" t="e">
        <f>(DG145+DH145)/(DA145+DB145)</f>
        <v>#DIV/0!</v>
      </c>
      <c r="DK145" s="18" t="e">
        <f>CK145/DI145</f>
        <v>#DIV/0!</v>
      </c>
    </row>
    <row r="146" spans="1:115" x14ac:dyDescent="0.25">
      <c r="A146" t="s">
        <v>1946</v>
      </c>
      <c r="B146" t="s">
        <v>1947</v>
      </c>
      <c r="D146" t="s">
        <v>378</v>
      </c>
      <c r="E146" t="s">
        <v>80</v>
      </c>
      <c r="F146">
        <v>75201</v>
      </c>
      <c r="G146" t="s">
        <v>62</v>
      </c>
      <c r="I146">
        <v>272</v>
      </c>
      <c r="J146" t="s">
        <v>63</v>
      </c>
      <c r="K146" t="s">
        <v>4133</v>
      </c>
      <c r="L146" t="s">
        <v>113</v>
      </c>
      <c r="M146">
        <v>8</v>
      </c>
      <c r="N146" t="s">
        <v>1948</v>
      </c>
      <c r="O146" t="s">
        <v>1949</v>
      </c>
      <c r="Q146" t="s">
        <v>1950</v>
      </c>
      <c r="R146" t="s">
        <v>378</v>
      </c>
      <c r="S146" t="s">
        <v>94</v>
      </c>
      <c r="T146" t="s">
        <v>1951</v>
      </c>
      <c r="U146" t="s">
        <v>62</v>
      </c>
      <c r="V146">
        <v>2144204950</v>
      </c>
      <c r="W146" s="1">
        <v>8450519</v>
      </c>
      <c r="X146">
        <v>13</v>
      </c>
      <c r="Y146">
        <v>65</v>
      </c>
      <c r="Z146">
        <v>2015</v>
      </c>
      <c r="AA146" t="s">
        <v>163</v>
      </c>
      <c r="AB146" t="s">
        <v>1952</v>
      </c>
      <c r="AC146" t="s">
        <v>98</v>
      </c>
      <c r="AD146" t="s">
        <v>119</v>
      </c>
      <c r="AE146">
        <v>1382</v>
      </c>
      <c r="AF146" t="s">
        <v>120</v>
      </c>
      <c r="AI146">
        <v>13820000</v>
      </c>
      <c r="AJ146" t="s">
        <v>119</v>
      </c>
      <c r="AM146">
        <v>213112</v>
      </c>
      <c r="AN146" t="s">
        <v>74</v>
      </c>
      <c r="AQ146" t="s">
        <v>75</v>
      </c>
      <c r="AR146" t="s">
        <v>1948</v>
      </c>
      <c r="AS146" t="s">
        <v>1949</v>
      </c>
      <c r="AT146" t="s">
        <v>427</v>
      </c>
      <c r="AU146" t="s">
        <v>80</v>
      </c>
      <c r="AV146" t="s">
        <v>62</v>
      </c>
      <c r="AW146" t="s">
        <v>1948</v>
      </c>
      <c r="AX146" t="s">
        <v>1949</v>
      </c>
      <c r="AY146" t="s">
        <v>80</v>
      </c>
      <c r="AZ146" t="s">
        <v>62</v>
      </c>
      <c r="BE146" t="s">
        <v>62</v>
      </c>
      <c r="BF146">
        <v>1</v>
      </c>
      <c r="BG146">
        <v>4</v>
      </c>
      <c r="BH146" s="4" t="s">
        <v>1948</v>
      </c>
      <c r="BI146" s="4" t="s">
        <v>1949</v>
      </c>
      <c r="BK146" s="4" t="s">
        <v>1950</v>
      </c>
      <c r="BL146" s="4" t="s">
        <v>378</v>
      </c>
      <c r="BM146" s="4" t="s">
        <v>94</v>
      </c>
      <c r="BN146" s="4" t="s">
        <v>1951</v>
      </c>
      <c r="BO146" s="4" t="s">
        <v>62</v>
      </c>
      <c r="BP146" s="4">
        <v>2144204950</v>
      </c>
      <c r="BQ146" s="5">
        <v>8450519</v>
      </c>
      <c r="BR146" s="4">
        <v>13</v>
      </c>
      <c r="BS146" s="4">
        <v>65</v>
      </c>
      <c r="BT146" s="4">
        <v>2015</v>
      </c>
      <c r="BU146" s="4" t="s">
        <v>163</v>
      </c>
      <c r="BV146" s="4" t="s">
        <v>1952</v>
      </c>
      <c r="BW146" s="4" t="s">
        <v>98</v>
      </c>
      <c r="BX146" s="4" t="s">
        <v>119</v>
      </c>
      <c r="BY146" s="4">
        <v>1382</v>
      </c>
      <c r="BZ146" s="4" t="s">
        <v>120</v>
      </c>
      <c r="CC146" s="4">
        <v>13820000</v>
      </c>
      <c r="CD146" s="4" t="s">
        <v>119</v>
      </c>
      <c r="CG146" s="4">
        <v>213112</v>
      </c>
      <c r="CH146" s="4" t="s">
        <v>74</v>
      </c>
      <c r="CK146" s="19">
        <f>IF(BQ146&gt;0,BQ146,W146)</f>
        <v>8450519</v>
      </c>
      <c r="CL146" s="20">
        <f>IF(BS146&gt;0,BS146,Y146)</f>
        <v>65</v>
      </c>
      <c r="CM146" s="34">
        <f>IF(CG146&gt;0,CG146,AM146)</f>
        <v>213112</v>
      </c>
      <c r="CN146" s="80">
        <f>IF($BH146="",1,COUNTIF($BH$3:$BH146,$BH146))</f>
        <v>1</v>
      </c>
      <c r="CP146" t="str">
        <f>IF($K146="Standard Match","Match",IF($K146="Name Only Match",IF($CO146="Yes","Match","Name Only Match"),"No Match"))</f>
        <v>Match</v>
      </c>
      <c r="CQ146" s="35" t="str">
        <f>IF(AND(CP146="Match",CK146&gt;0,CL146&gt;0),"Y","N")</f>
        <v>Y</v>
      </c>
      <c r="CS146" t="str">
        <f>IF($CQ146="Y",VLOOKUP($CM146,'SBA Size Standards'!$B$3:$G$57,MATCH('SBA Size Standards'!$G$3,'SBA Size Standards'!$B$3:$G$3,0),FALSE),"")</f>
        <v>Revenue</v>
      </c>
      <c r="CT146" s="60">
        <f>IF(CQ146="Y",IF($CS146="Employment","N/A",VLOOKUP($CM146,'SBA Size Standards'!$B$3:$G$57,MATCH('SBA Size Standards'!$E$3,'SBA Size Standards'!$B$3:$G$3,0),FALSE)),"")</f>
        <v>41500000</v>
      </c>
      <c r="CU146" s="86" t="str">
        <f>IF($CQ146="Y",IF($CS146="Revenue","N/A",VLOOKUP($CM146,'SBA Size Standards'!$B$3:$G$57,MATCH('SBA Size Standards'!$F$3,'SBA Size Standards'!$B$3:$G$3,0),FALSE)),"")</f>
        <v>N/A</v>
      </c>
      <c r="CV146" t="str">
        <f>IF($CQ146="Y",IF(OR(AND($CS146="Employment",$CL146&lt;$CU146),AND($CS146="Revenue",$CK146&lt;$CT146)),"YES","NO"),"")</f>
        <v>YES</v>
      </c>
      <c r="CW146" s="90" t="str">
        <f>IF($CQ146="Y",INDEX('SBA Size Standards'!$N$3:$N$12,MATCH($CK146,'SBA Size Standards'!$O$3:$O$12,1)),"")</f>
        <v>$5,000,001 - $100,000,000</v>
      </c>
      <c r="CX146" s="122" t="s">
        <v>4862</v>
      </c>
      <c r="CY146" s="122">
        <f>INDEX('NM O&amp;G Production'!$P$3:$P$537,MATCH(CX146,'NM O&amp;G Production'!$Q$3:$Q$537,0))</f>
        <v>272</v>
      </c>
      <c r="CZ146" s="122" t="str">
        <f>INDEX('NM O&amp;G Production'!$O$3:$O$537,MATCH(CY146,'NM O&amp;G Production'!$P$3:$P$537,0))</f>
        <v>No</v>
      </c>
      <c r="DA146" s="127">
        <f>INDEX('NM O&amp;G Production'!$K$3:$O$537,MATCH($CY146,'NM O&amp;G Production'!$P$3:$P$537,0),MATCH(DA$2,'NM O&amp;G Production'!$K$2:$O$2,0))</f>
        <v>0</v>
      </c>
      <c r="DB146" s="127">
        <f>INDEX('NM O&amp;G Production'!$K$3:$O$537,MATCH($CY146,'NM O&amp;G Production'!$P$3:$P$537,0),MATCH(DB$2,'NM O&amp;G Production'!$K$2:$O$2,0))</f>
        <v>0</v>
      </c>
      <c r="DC146" s="127"/>
      <c r="DD146" s="127">
        <f>INDEX('NM O&amp;G Production'!$K$3:$O$537,MATCH($CY146,'NM O&amp;G Production'!$P$3:$P$537,0),MATCH(DD$2,'NM O&amp;G Production'!$K$2:$O$2,0))</f>
        <v>0</v>
      </c>
      <c r="DE146" s="127">
        <f>INDEX('NM O&amp;G Production'!$K$3:$O$537,MATCH($CY146,'NM O&amp;G Production'!$P$3:$P$537,0),MATCH(DE$2,'NM O&amp;G Production'!$K$2:$O$2,0))</f>
        <v>0</v>
      </c>
      <c r="DF146" s="258" t="e">
        <f>CK146/(DB146+DA146)</f>
        <v>#DIV/0!</v>
      </c>
      <c r="DG146" s="57">
        <f>DD146*(12/18)*1.06*'Oil and Gas Prices'!$C$18</f>
        <v>0</v>
      </c>
      <c r="DH146" s="284">
        <f>DE146*(12/18)*'Oil and Gas Prices'!$C$4</f>
        <v>0</v>
      </c>
      <c r="DI146" s="284"/>
      <c r="DJ146" s="57" t="e">
        <f>(DG146+DH146)/(DA146+DB146)</f>
        <v>#DIV/0!</v>
      </c>
      <c r="DK146" s="18" t="e">
        <f>CK146/DI146</f>
        <v>#DIV/0!</v>
      </c>
    </row>
    <row r="147" spans="1:115" x14ac:dyDescent="0.25">
      <c r="A147" s="21" t="s">
        <v>1033</v>
      </c>
      <c r="B147" s="21" t="s">
        <v>1034</v>
      </c>
      <c r="C147" s="21"/>
      <c r="D147" s="21" t="s">
        <v>1035</v>
      </c>
      <c r="E147" s="21" t="s">
        <v>84</v>
      </c>
      <c r="F147">
        <v>87413</v>
      </c>
      <c r="G147" t="s">
        <v>62</v>
      </c>
      <c r="I147">
        <v>136</v>
      </c>
      <c r="J147" t="s">
        <v>63</v>
      </c>
      <c r="K147" t="s">
        <v>4134</v>
      </c>
      <c r="L147" t="s">
        <v>3627</v>
      </c>
      <c r="M147">
        <v>8</v>
      </c>
      <c r="N147" t="s">
        <v>3833</v>
      </c>
      <c r="O147" s="21" t="s">
        <v>3834</v>
      </c>
      <c r="P147" s="21"/>
      <c r="Q147" s="21" t="s">
        <v>3835</v>
      </c>
      <c r="R147" s="21" t="s">
        <v>378</v>
      </c>
      <c r="S147" s="21" t="s">
        <v>94</v>
      </c>
      <c r="T147" t="s">
        <v>3836</v>
      </c>
      <c r="U147" t="s">
        <v>62</v>
      </c>
      <c r="V147">
        <v>9728892100</v>
      </c>
      <c r="W147" s="23">
        <v>8257748</v>
      </c>
      <c r="X147" s="21">
        <v>40</v>
      </c>
      <c r="Y147" s="21">
        <v>40</v>
      </c>
      <c r="Z147">
        <v>1991</v>
      </c>
      <c r="AA147" s="21" t="s">
        <v>70</v>
      </c>
      <c r="AB147" t="s">
        <v>3837</v>
      </c>
      <c r="AC147" t="s">
        <v>145</v>
      </c>
      <c r="AD147" s="21" t="s">
        <v>119</v>
      </c>
      <c r="AE147">
        <v>1382</v>
      </c>
      <c r="AF147" t="s">
        <v>120</v>
      </c>
      <c r="AI147">
        <v>13820000</v>
      </c>
      <c r="AJ147" t="s">
        <v>119</v>
      </c>
      <c r="AM147" s="21">
        <v>213112</v>
      </c>
      <c r="AN147" s="21" t="s">
        <v>74</v>
      </c>
      <c r="AO147" s="21"/>
      <c r="AP147" s="21"/>
      <c r="AQ147" s="21" t="s">
        <v>75</v>
      </c>
      <c r="AT147" t="s">
        <v>76</v>
      </c>
      <c r="BF147">
        <v>0</v>
      </c>
      <c r="BG147" s="24">
        <v>0</v>
      </c>
      <c r="BH147" s="24"/>
      <c r="BI147" s="24"/>
      <c r="BJ147" s="24"/>
      <c r="BK147" s="24"/>
      <c r="BL147" s="24"/>
      <c r="BM147" s="24"/>
      <c r="BN147" s="24"/>
      <c r="BO147" s="24"/>
      <c r="BQ147" s="24"/>
      <c r="BR147" s="24"/>
      <c r="BS147" s="24"/>
      <c r="BU147" s="24"/>
      <c r="BX147" s="24"/>
      <c r="CG147" s="24"/>
      <c r="CH147" s="24"/>
      <c r="CI147" s="24"/>
      <c r="CJ147" s="24"/>
      <c r="CK147" s="19">
        <f>IF(BQ147&gt;0,BQ147,W147)</f>
        <v>8257748</v>
      </c>
      <c r="CL147" s="20">
        <f>IF(BS147&gt;0,BS147,Y147)</f>
        <v>40</v>
      </c>
      <c r="CM147" s="34">
        <f>IF(CG147&gt;0,CG147,AM147)</f>
        <v>213112</v>
      </c>
      <c r="CN147" s="80">
        <f>IF($BH147="",1,COUNTIF($BH$3:$BH147,$BH147))</f>
        <v>1</v>
      </c>
      <c r="CO147" s="33" t="s">
        <v>4386</v>
      </c>
      <c r="CP147" t="str">
        <f>IF($K147="Standard Match","Match",IF($K147="Name Only Match",IF($CO147="Yes","Match","Name Only Match"),"No Match"))</f>
        <v>Match</v>
      </c>
      <c r="CQ147" s="35" t="str">
        <f>IF(AND(CP147="Match",CK147&gt;0,CL147&gt;0),"Y","N")</f>
        <v>Y</v>
      </c>
      <c r="CR147" s="21"/>
      <c r="CS147" t="str">
        <f>IF($CQ147="Y",VLOOKUP($CM147,'SBA Size Standards'!$B$3:$G$57,MATCH('SBA Size Standards'!$G$3,'SBA Size Standards'!$B$3:$G$3,0),FALSE),"")</f>
        <v>Revenue</v>
      </c>
      <c r="CT147" s="60">
        <f>IF(CQ147="Y",IF($CS147="Employment","N/A",VLOOKUP($CM147,'SBA Size Standards'!$B$3:$G$57,MATCH('SBA Size Standards'!$E$3,'SBA Size Standards'!$B$3:$G$3,0),FALSE)),"")</f>
        <v>41500000</v>
      </c>
      <c r="CU147" s="86" t="str">
        <f>IF($CQ147="Y",IF($CS147="Revenue","N/A",VLOOKUP($CM147,'SBA Size Standards'!$B$3:$G$57,MATCH('SBA Size Standards'!$F$3,'SBA Size Standards'!$B$3:$G$3,0),FALSE)),"")</f>
        <v>N/A</v>
      </c>
      <c r="CV147" t="str">
        <f>IF($CQ147="Y",IF(OR(AND($CS147="Employment",$CL147&lt;$CU147),AND($CS147="Revenue",$CK147&lt;$CT147)),"YES","NO"),"")</f>
        <v>YES</v>
      </c>
      <c r="CW147" s="90" t="str">
        <f>IF($CQ147="Y",INDEX('SBA Size Standards'!$N$3:$N$12,MATCH($CK147,'SBA Size Standards'!$O$3:$O$12,1)),"")</f>
        <v>$5,000,001 - $100,000,000</v>
      </c>
      <c r="CX147" s="122" t="s">
        <v>4954</v>
      </c>
      <c r="CY147" s="122">
        <f>INDEX('NM O&amp;G Production'!$P$3:$P$537,MATCH(CX147,'NM O&amp;G Production'!$Q$3:$Q$537,0))</f>
        <v>136</v>
      </c>
      <c r="CZ147" s="122" t="str">
        <f>INDEX('NM O&amp;G Production'!$O$3:$O$537,MATCH(CY147,'NM O&amp;G Production'!$P$3:$P$537,0))</f>
        <v>No</v>
      </c>
      <c r="DA147" s="127">
        <f>INDEX('NM O&amp;G Production'!$K$3:$O$537,MATCH($CY147,'NM O&amp;G Production'!$P$3:$P$537,0),MATCH(DA$2,'NM O&amp;G Production'!$K$2:$O$2,0))</f>
        <v>0</v>
      </c>
      <c r="DB147" s="127">
        <f>INDEX('NM O&amp;G Production'!$K$3:$O$537,MATCH($CY147,'NM O&amp;G Production'!$P$3:$P$537,0),MATCH(DB$2,'NM O&amp;G Production'!$K$2:$O$2,0))</f>
        <v>0</v>
      </c>
      <c r="DC147" s="127"/>
      <c r="DD147" s="127">
        <f>INDEX('NM O&amp;G Production'!$K$3:$O$537,MATCH($CY147,'NM O&amp;G Production'!$P$3:$P$537,0),MATCH(DD$2,'NM O&amp;G Production'!$K$2:$O$2,0))</f>
        <v>0</v>
      </c>
      <c r="DE147" s="127">
        <f>INDEX('NM O&amp;G Production'!$K$3:$O$537,MATCH($CY147,'NM O&amp;G Production'!$P$3:$P$537,0),MATCH(DE$2,'NM O&amp;G Production'!$K$2:$O$2,0))</f>
        <v>0</v>
      </c>
      <c r="DF147" s="258" t="e">
        <f>CK147/(DB147+DA147)</f>
        <v>#DIV/0!</v>
      </c>
      <c r="DG147" s="57">
        <f>DD147*(12/18)*1.06*'Oil and Gas Prices'!$C$18</f>
        <v>0</v>
      </c>
      <c r="DH147" s="284">
        <f>DE147*(12/18)*'Oil and Gas Prices'!$C$4</f>
        <v>0</v>
      </c>
      <c r="DI147" s="284"/>
      <c r="DJ147" s="57" t="e">
        <f>(DG147+DH147)/(DA147+DB147)</f>
        <v>#DIV/0!</v>
      </c>
      <c r="DK147" s="18" t="e">
        <f>CK147/DI147</f>
        <v>#DIV/0!</v>
      </c>
    </row>
    <row r="148" spans="1:115" x14ac:dyDescent="0.25">
      <c r="A148" t="s">
        <v>2229</v>
      </c>
      <c r="B148" t="s">
        <v>2230</v>
      </c>
      <c r="D148" t="s">
        <v>2231</v>
      </c>
      <c r="E148" t="s">
        <v>80</v>
      </c>
      <c r="F148">
        <v>76430</v>
      </c>
      <c r="G148" t="s">
        <v>62</v>
      </c>
      <c r="I148">
        <v>315</v>
      </c>
      <c r="J148" t="s">
        <v>63</v>
      </c>
      <c r="K148" t="s">
        <v>4133</v>
      </c>
      <c r="L148" t="s">
        <v>149</v>
      </c>
      <c r="M148">
        <v>10</v>
      </c>
      <c r="N148" t="s">
        <v>2232</v>
      </c>
      <c r="O148" t="s">
        <v>2233</v>
      </c>
      <c r="Q148" t="s">
        <v>2234</v>
      </c>
      <c r="R148" t="s">
        <v>2231</v>
      </c>
      <c r="S148" t="s">
        <v>94</v>
      </c>
      <c r="T148">
        <v>76430</v>
      </c>
      <c r="U148" t="s">
        <v>62</v>
      </c>
      <c r="V148">
        <v>3257623331</v>
      </c>
      <c r="W148" s="1">
        <v>7615646</v>
      </c>
      <c r="X148">
        <v>27</v>
      </c>
      <c r="Y148">
        <v>27</v>
      </c>
      <c r="Z148">
        <v>1987</v>
      </c>
      <c r="AA148" t="s">
        <v>70</v>
      </c>
      <c r="AB148" t="s">
        <v>2235</v>
      </c>
      <c r="AC148" t="s">
        <v>98</v>
      </c>
      <c r="AD148" t="s">
        <v>119</v>
      </c>
      <c r="AE148">
        <v>1382</v>
      </c>
      <c r="AF148" t="s">
        <v>120</v>
      </c>
      <c r="AG148">
        <v>1389</v>
      </c>
      <c r="AH148" t="s">
        <v>72</v>
      </c>
      <c r="AI148">
        <v>13820000</v>
      </c>
      <c r="AJ148" t="s">
        <v>119</v>
      </c>
      <c r="AK148">
        <v>13899912</v>
      </c>
      <c r="AL148" t="s">
        <v>426</v>
      </c>
      <c r="AM148">
        <v>213112</v>
      </c>
      <c r="AN148" t="s">
        <v>74</v>
      </c>
      <c r="AO148">
        <v>213112</v>
      </c>
      <c r="AP148" t="s">
        <v>74</v>
      </c>
      <c r="AQ148" t="s">
        <v>75</v>
      </c>
      <c r="AT148" t="s">
        <v>76</v>
      </c>
      <c r="BF148">
        <v>0</v>
      </c>
      <c r="BG148">
        <v>0</v>
      </c>
      <c r="CK148" s="19">
        <f>IF(BQ148&gt;0,BQ148,W148)</f>
        <v>7615646</v>
      </c>
      <c r="CL148" s="20">
        <f>IF(BS148&gt;0,BS148,Y148)</f>
        <v>27</v>
      </c>
      <c r="CM148" s="34">
        <f>IF(CG148&gt;0,CG148,AM148)</f>
        <v>213112</v>
      </c>
      <c r="CN148" s="80">
        <f>IF($BH148="",1,COUNTIF($BH$3:$BH148,$BH148))</f>
        <v>1</v>
      </c>
      <c r="CP148" t="str">
        <f>IF($K148="Standard Match","Match",IF($K148="Name Only Match",IF($CO148="Yes","Match","Name Only Match"),"No Match"))</f>
        <v>Match</v>
      </c>
      <c r="CQ148" s="35" t="str">
        <f>IF(AND(CP148="Match",CK148&gt;0,CL148&gt;0),"Y","N")</f>
        <v>Y</v>
      </c>
      <c r="CS148" t="str">
        <f>IF($CQ148="Y",VLOOKUP($CM148,'SBA Size Standards'!$B$3:$G$57,MATCH('SBA Size Standards'!$G$3,'SBA Size Standards'!$B$3:$G$3,0),FALSE),"")</f>
        <v>Revenue</v>
      </c>
      <c r="CT148" s="60">
        <f>IF(CQ148="Y",IF($CS148="Employment","N/A",VLOOKUP($CM148,'SBA Size Standards'!$B$3:$G$57,MATCH('SBA Size Standards'!$E$3,'SBA Size Standards'!$B$3:$G$3,0),FALSE)),"")</f>
        <v>41500000</v>
      </c>
      <c r="CU148" s="86" t="str">
        <f>IF($CQ148="Y",IF($CS148="Revenue","N/A",VLOOKUP($CM148,'SBA Size Standards'!$B$3:$G$57,MATCH('SBA Size Standards'!$F$3,'SBA Size Standards'!$B$3:$G$3,0),FALSE)),"")</f>
        <v>N/A</v>
      </c>
      <c r="CV148" t="str">
        <f>IF($CQ148="Y",IF(OR(AND($CS148="Employment",$CL148&lt;$CU148),AND($CS148="Revenue",$CK148&lt;$CT148)),"YES","NO"),"")</f>
        <v>YES</v>
      </c>
      <c r="CW148" s="90" t="str">
        <f>IF($CQ148="Y",INDEX('SBA Size Standards'!$N$3:$N$12,MATCH($CK148,'SBA Size Standards'!$O$3:$O$12,1)),"")</f>
        <v>$5,000,001 - $100,000,000</v>
      </c>
      <c r="CX148" s="122" t="s">
        <v>4684</v>
      </c>
      <c r="CY148" s="122">
        <f>INDEX('NM O&amp;G Production'!$P$3:$P$537,MATCH(CX148,'NM O&amp;G Production'!$Q$3:$Q$537,0))</f>
        <v>315</v>
      </c>
      <c r="CZ148" s="122" t="str">
        <f>INDEX('NM O&amp;G Production'!$O$3:$O$537,MATCH(CY148,'NM O&amp;G Production'!$P$3:$P$537,0))</f>
        <v>Yes</v>
      </c>
      <c r="DA148" s="127">
        <f>INDEX('NM O&amp;G Production'!$K$3:$O$537,MATCH($CY148,'NM O&amp;G Production'!$P$3:$P$537,0),MATCH(DA$2,'NM O&amp;G Production'!$K$2:$O$2,0))</f>
        <v>2</v>
      </c>
      <c r="DB148" s="127">
        <f>INDEX('NM O&amp;G Production'!$K$3:$O$537,MATCH($CY148,'NM O&amp;G Production'!$P$3:$P$537,0),MATCH(DB$2,'NM O&amp;G Production'!$K$2:$O$2,0))</f>
        <v>22</v>
      </c>
      <c r="DC148" s="127">
        <f>DA148+DB148</f>
        <v>24</v>
      </c>
      <c r="DD148" s="127">
        <f>INDEX('NM O&amp;G Production'!$K$3:$O$537,MATCH($CY148,'NM O&amp;G Production'!$P$3:$P$537,0),MATCH(DD$2,'NM O&amp;G Production'!$K$2:$O$2,0))</f>
        <v>208451</v>
      </c>
      <c r="DE148" s="127">
        <f>INDEX('NM O&amp;G Production'!$K$3:$O$537,MATCH($CY148,'NM O&amp;G Production'!$P$3:$P$537,0),MATCH(DE$2,'NM O&amp;G Production'!$K$2:$O$2,0))</f>
        <v>12873</v>
      </c>
      <c r="DF148" s="258">
        <f>CK148/(DB148+DA148)</f>
        <v>317318.58333333331</v>
      </c>
      <c r="DG148" s="57">
        <f>DD148*(12/18)*1.06*'Oil and Gas Prices'!$C$18</f>
        <v>352059.84226666664</v>
      </c>
      <c r="DH148" s="284">
        <f>DE148*(12/18)*'Oil and Gas Prices'!$C$4</f>
        <v>386190</v>
      </c>
      <c r="DI148" s="284">
        <f>DG148+DH148</f>
        <v>738249.8422666667</v>
      </c>
      <c r="DJ148" s="57">
        <f>(DG148+DH148)/(DA148+DB148)</f>
        <v>30760.410094444447</v>
      </c>
      <c r="DK148" s="319"/>
    </row>
    <row r="149" spans="1:115" x14ac:dyDescent="0.25">
      <c r="A149" t="s">
        <v>3440</v>
      </c>
      <c r="B149" t="s">
        <v>3441</v>
      </c>
      <c r="D149" t="s">
        <v>112</v>
      </c>
      <c r="E149" t="s">
        <v>80</v>
      </c>
      <c r="F149">
        <v>77098</v>
      </c>
      <c r="G149" t="s">
        <v>62</v>
      </c>
      <c r="I149">
        <v>508</v>
      </c>
      <c r="J149" t="s">
        <v>63</v>
      </c>
      <c r="K149" t="s">
        <v>4133</v>
      </c>
      <c r="L149" t="s">
        <v>64</v>
      </c>
      <c r="M149">
        <v>10</v>
      </c>
      <c r="N149" t="s">
        <v>3442</v>
      </c>
      <c r="O149" t="s">
        <v>3443</v>
      </c>
      <c r="Q149" t="s">
        <v>3444</v>
      </c>
      <c r="R149" t="s">
        <v>112</v>
      </c>
      <c r="S149" t="s">
        <v>94</v>
      </c>
      <c r="T149" t="s">
        <v>3445</v>
      </c>
      <c r="U149" t="s">
        <v>62</v>
      </c>
      <c r="V149">
        <v>7132301000</v>
      </c>
      <c r="W149" s="1">
        <v>1524370607</v>
      </c>
      <c r="X149">
        <v>83</v>
      </c>
      <c r="Y149">
        <v>257</v>
      </c>
      <c r="Z149">
        <v>1996</v>
      </c>
      <c r="AA149" t="s">
        <v>163</v>
      </c>
      <c r="AB149" t="s">
        <v>3446</v>
      </c>
      <c r="AC149" t="s">
        <v>133</v>
      </c>
      <c r="AD149" t="s">
        <v>99</v>
      </c>
      <c r="AE149">
        <v>1311</v>
      </c>
      <c r="AF149" t="s">
        <v>100</v>
      </c>
      <c r="AI149">
        <v>13110100</v>
      </c>
      <c r="AJ149" t="s">
        <v>411</v>
      </c>
      <c r="AM149">
        <v>211120</v>
      </c>
      <c r="AN149" t="s">
        <v>104</v>
      </c>
      <c r="AQ149" t="s">
        <v>168</v>
      </c>
      <c r="AR149" t="s">
        <v>3447</v>
      </c>
      <c r="AS149" t="s">
        <v>3448</v>
      </c>
      <c r="AT149" t="s">
        <v>76</v>
      </c>
      <c r="AV149" t="s">
        <v>3449</v>
      </c>
      <c r="AW149" t="s">
        <v>3450</v>
      </c>
      <c r="AX149" t="s">
        <v>3451</v>
      </c>
      <c r="AY149" t="s">
        <v>80</v>
      </c>
      <c r="AZ149" t="s">
        <v>62</v>
      </c>
      <c r="BA149" t="s">
        <v>3452</v>
      </c>
      <c r="BC149" t="s">
        <v>3453</v>
      </c>
      <c r="BD149" t="s">
        <v>80</v>
      </c>
      <c r="BE149" t="s">
        <v>3449</v>
      </c>
      <c r="BF149">
        <v>7</v>
      </c>
      <c r="BG149">
        <v>104</v>
      </c>
      <c r="BH149" s="4" t="s">
        <v>3447</v>
      </c>
      <c r="BI149" s="4" t="s">
        <v>3448</v>
      </c>
      <c r="BJ149" s="4" t="s">
        <v>4234</v>
      </c>
      <c r="BK149" s="4" t="s">
        <v>4235</v>
      </c>
      <c r="BL149" s="4" t="s">
        <v>4236</v>
      </c>
      <c r="BM149" s="4" t="s">
        <v>4237</v>
      </c>
      <c r="BN149" s="4" t="s">
        <v>4238</v>
      </c>
      <c r="BO149" s="4" t="s">
        <v>3449</v>
      </c>
      <c r="BP149" s="4">
        <v>104987200</v>
      </c>
      <c r="BQ149" s="5">
        <v>7472388</v>
      </c>
      <c r="BR149" s="4">
        <v>0</v>
      </c>
      <c r="BS149" s="4">
        <v>47</v>
      </c>
      <c r="BT149" s="4">
        <v>2018</v>
      </c>
      <c r="BU149" s="4" t="s">
        <v>163</v>
      </c>
      <c r="BV149" s="4" t="s">
        <v>4239</v>
      </c>
      <c r="BW149" s="4" t="s">
        <v>4240</v>
      </c>
      <c r="BX149" s="4" t="s">
        <v>2632</v>
      </c>
      <c r="BY149" s="4">
        <v>6719</v>
      </c>
      <c r="BZ149" s="4" t="s">
        <v>1409</v>
      </c>
      <c r="CC149" s="4">
        <v>67190000</v>
      </c>
      <c r="CD149" s="4" t="s">
        <v>1410</v>
      </c>
      <c r="CG149" s="4">
        <v>523120</v>
      </c>
      <c r="CH149" s="4" t="s">
        <v>4241</v>
      </c>
      <c r="CI149" s="4">
        <v>523991</v>
      </c>
      <c r="CJ149" s="4" t="s">
        <v>4233</v>
      </c>
      <c r="CK149" s="19">
        <f>IF(BQ149&gt;0,BQ149,W149)</f>
        <v>7472388</v>
      </c>
      <c r="CL149" s="20">
        <f>IF(BS149&gt;0,BS149,Y149)</f>
        <v>47</v>
      </c>
      <c r="CM149" s="34">
        <f>IF(CG149&gt;0,CG149,AM149)</f>
        <v>523120</v>
      </c>
      <c r="CN149" s="80">
        <f>IF($BH149="",1,COUNTIF($BH$3:$BH149,$BH149))</f>
        <v>1</v>
      </c>
      <c r="CP149" t="str">
        <f>IF($K149="Standard Match","Match",IF($K149="Name Only Match",IF($CO149="Yes","Match","Name Only Match"),"No Match"))</f>
        <v>Match</v>
      </c>
      <c r="CQ149" s="35" t="str">
        <f>IF(AND(CP149="Match",CK149&gt;0,CL149&gt;0),"Y","N")</f>
        <v>Y</v>
      </c>
      <c r="CS149" t="str">
        <f>IF($CQ149="Y",VLOOKUP($CM149,'SBA Size Standards'!$B$3:$G$57,MATCH('SBA Size Standards'!$G$3,'SBA Size Standards'!$B$3:$G$3,0),FALSE),"")</f>
        <v>Revenue</v>
      </c>
      <c r="CT149" s="60">
        <f>IF(CQ149="Y",IF($CS149="Employment","N/A",VLOOKUP($CM149,'SBA Size Standards'!$B$3:$G$57,MATCH('SBA Size Standards'!$E$3,'SBA Size Standards'!$B$3:$G$3,0),FALSE)),"")</f>
        <v>41500000</v>
      </c>
      <c r="CU149" s="86" t="str">
        <f>IF($CQ149="Y",IF($CS149="Revenue","N/A",VLOOKUP($CM149,'SBA Size Standards'!$B$3:$G$57,MATCH('SBA Size Standards'!$F$3,'SBA Size Standards'!$B$3:$G$3,0),FALSE)),"")</f>
        <v>N/A</v>
      </c>
      <c r="CV149" t="str">
        <f>IF($CQ149="Y",IF(OR(AND($CS149="Employment",$CL149&lt;$CU149),AND($CS149="Revenue",$CK149&lt;$CT149)),"YES","NO"),"")</f>
        <v>YES</v>
      </c>
      <c r="CW149" s="90" t="str">
        <f>IF($CQ149="Y",INDEX('SBA Size Standards'!$N$3:$N$12,MATCH($CK149,'SBA Size Standards'!$O$3:$O$12,1)),"")</f>
        <v>$5,000,001 - $100,000,000</v>
      </c>
      <c r="CX149" s="122" t="s">
        <v>4779</v>
      </c>
      <c r="CY149" s="122">
        <f>INDEX('NM O&amp;G Production'!$P$3:$P$537,MATCH(CX149,'NM O&amp;G Production'!$Q$3:$Q$537,0))</f>
        <v>508</v>
      </c>
      <c r="CZ149" s="122" t="str">
        <f>INDEX('NM O&amp;G Production'!$O$3:$O$537,MATCH(CY149,'NM O&amp;G Production'!$P$3:$P$537,0))</f>
        <v>No</v>
      </c>
      <c r="DA149" s="127">
        <f>INDEX('NM O&amp;G Production'!$K$3:$O$537,MATCH($CY149,'NM O&amp;G Production'!$P$3:$P$537,0),MATCH(DA$2,'NM O&amp;G Production'!$K$2:$O$2,0))</f>
        <v>0</v>
      </c>
      <c r="DB149" s="127">
        <f>INDEX('NM O&amp;G Production'!$K$3:$O$537,MATCH($CY149,'NM O&amp;G Production'!$P$3:$P$537,0),MATCH(DB$2,'NM O&amp;G Production'!$K$2:$O$2,0))</f>
        <v>0</v>
      </c>
      <c r="DC149" s="127"/>
      <c r="DD149" s="127">
        <f>INDEX('NM O&amp;G Production'!$K$3:$O$537,MATCH($CY149,'NM O&amp;G Production'!$P$3:$P$537,0),MATCH(DD$2,'NM O&amp;G Production'!$K$2:$O$2,0))</f>
        <v>0</v>
      </c>
      <c r="DE149" s="127">
        <f>INDEX('NM O&amp;G Production'!$K$3:$O$537,MATCH($CY149,'NM O&amp;G Production'!$P$3:$P$537,0),MATCH(DE$2,'NM O&amp;G Production'!$K$2:$O$2,0))</f>
        <v>0</v>
      </c>
      <c r="DF149" s="258" t="e">
        <f>CK149/(DB149+DA149)</f>
        <v>#DIV/0!</v>
      </c>
      <c r="DG149" s="57">
        <f>DD149*(12/18)*1.06*'Oil and Gas Prices'!$C$18</f>
        <v>0</v>
      </c>
      <c r="DH149" s="284">
        <f>DE149*(12/18)*'Oil and Gas Prices'!$C$4</f>
        <v>0</v>
      </c>
      <c r="DI149" s="284"/>
      <c r="DJ149" s="57" t="e">
        <f>(DG149+DH149)/(DA149+DB149)</f>
        <v>#DIV/0!</v>
      </c>
      <c r="DK149" s="18" t="e">
        <f>CK149/DI149</f>
        <v>#DIV/0!</v>
      </c>
    </row>
    <row r="150" spans="1:115" x14ac:dyDescent="0.25">
      <c r="A150" t="s">
        <v>2539</v>
      </c>
      <c r="B150" t="s">
        <v>2540</v>
      </c>
      <c r="D150" t="s">
        <v>183</v>
      </c>
      <c r="E150" t="s">
        <v>184</v>
      </c>
      <c r="F150" t="s">
        <v>2541</v>
      </c>
      <c r="G150" t="s">
        <v>62</v>
      </c>
      <c r="I150">
        <v>366</v>
      </c>
      <c r="J150" t="s">
        <v>63</v>
      </c>
      <c r="K150" t="s">
        <v>4133</v>
      </c>
      <c r="L150" t="s">
        <v>149</v>
      </c>
      <c r="M150">
        <v>10</v>
      </c>
      <c r="N150" t="s">
        <v>2542</v>
      </c>
      <c r="O150" t="s">
        <v>2543</v>
      </c>
      <c r="P150" t="s">
        <v>2543</v>
      </c>
      <c r="Q150" t="s">
        <v>2544</v>
      </c>
      <c r="R150" t="s">
        <v>183</v>
      </c>
      <c r="S150" t="s">
        <v>188</v>
      </c>
      <c r="T150" t="s">
        <v>2545</v>
      </c>
      <c r="U150" t="s">
        <v>62</v>
      </c>
      <c r="V150">
        <v>9185249200</v>
      </c>
      <c r="W150" s="1">
        <v>7266253</v>
      </c>
      <c r="X150">
        <v>25</v>
      </c>
      <c r="Y150">
        <v>25</v>
      </c>
      <c r="Z150">
        <v>1981</v>
      </c>
      <c r="AA150" t="s">
        <v>70</v>
      </c>
      <c r="AB150" t="s">
        <v>2546</v>
      </c>
      <c r="AC150" t="s">
        <v>242</v>
      </c>
      <c r="AD150" t="s">
        <v>119</v>
      </c>
      <c r="AE150">
        <v>1382</v>
      </c>
      <c r="AF150" t="s">
        <v>120</v>
      </c>
      <c r="AI150">
        <v>13820000</v>
      </c>
      <c r="AJ150" t="s">
        <v>119</v>
      </c>
      <c r="AM150">
        <v>213112</v>
      </c>
      <c r="AN150" t="s">
        <v>74</v>
      </c>
      <c r="AQ150" t="s">
        <v>75</v>
      </c>
      <c r="AT150" t="s">
        <v>76</v>
      </c>
      <c r="BF150">
        <v>0</v>
      </c>
      <c r="BG150">
        <v>0</v>
      </c>
      <c r="CK150" s="19">
        <f>IF(BQ150&gt;0,BQ150,W150)</f>
        <v>7266253</v>
      </c>
      <c r="CL150" s="20">
        <f>IF(BS150&gt;0,BS150,Y150)</f>
        <v>25</v>
      </c>
      <c r="CM150" s="34">
        <f>IF(CG150&gt;0,CG150,AM150)</f>
        <v>213112</v>
      </c>
      <c r="CN150" s="80">
        <f>IF($BH150="",1,COUNTIF($BH$3:$BH150,$BH150))</f>
        <v>1</v>
      </c>
      <c r="CP150" t="str">
        <f>IF($K150="Standard Match","Match",IF($K150="Name Only Match",IF($CO150="Yes","Match","Name Only Match"),"No Match"))</f>
        <v>Match</v>
      </c>
      <c r="CQ150" s="35" t="str">
        <f>IF(AND(CP150="Match",CK150&gt;0,CL150&gt;0),"Y","N")</f>
        <v>Y</v>
      </c>
      <c r="CS150" t="str">
        <f>IF($CQ150="Y",VLOOKUP($CM150,'SBA Size Standards'!$B$3:$G$57,MATCH('SBA Size Standards'!$G$3,'SBA Size Standards'!$B$3:$G$3,0),FALSE),"")</f>
        <v>Revenue</v>
      </c>
      <c r="CT150" s="60">
        <f>IF(CQ150="Y",IF($CS150="Employment","N/A",VLOOKUP($CM150,'SBA Size Standards'!$B$3:$G$57,MATCH('SBA Size Standards'!$E$3,'SBA Size Standards'!$B$3:$G$3,0),FALSE)),"")</f>
        <v>41500000</v>
      </c>
      <c r="CU150" s="86" t="str">
        <f>IF($CQ150="Y",IF($CS150="Revenue","N/A",VLOOKUP($CM150,'SBA Size Standards'!$B$3:$G$57,MATCH('SBA Size Standards'!$F$3,'SBA Size Standards'!$B$3:$G$3,0),FALSE)),"")</f>
        <v>N/A</v>
      </c>
      <c r="CV150" t="str">
        <f>IF($CQ150="Y",IF(OR(AND($CS150="Employment",$CL150&lt;$CU150),AND($CS150="Revenue",$CK150&lt;$CT150)),"YES","NO"),"")</f>
        <v>YES</v>
      </c>
      <c r="CW150" s="90" t="str">
        <f>IF($CQ150="Y",INDEX('SBA Size Standards'!$N$3:$N$12,MATCH($CK150,'SBA Size Standards'!$O$3:$O$12,1)),"")</f>
        <v>$5,000,001 - $100,000,000</v>
      </c>
      <c r="CX150" s="122" t="s">
        <v>4702</v>
      </c>
      <c r="CY150" s="122">
        <f>INDEX('NM O&amp;G Production'!$P$3:$P$537,MATCH(CX150,'NM O&amp;G Production'!$Q$3:$Q$537,0))</f>
        <v>366</v>
      </c>
      <c r="CZ150" s="122" t="str">
        <f>INDEX('NM O&amp;G Production'!$O$3:$O$537,MATCH(CY150,'NM O&amp;G Production'!$P$3:$P$537,0))</f>
        <v>Yes</v>
      </c>
      <c r="DA150" s="127">
        <f>INDEX('NM O&amp;G Production'!$K$3:$O$537,MATCH($CY150,'NM O&amp;G Production'!$P$3:$P$537,0),MATCH(DA$2,'NM O&amp;G Production'!$K$2:$O$2,0))</f>
        <v>5</v>
      </c>
      <c r="DB150" s="127">
        <f>INDEX('NM O&amp;G Production'!$K$3:$O$537,MATCH($CY150,'NM O&amp;G Production'!$P$3:$P$537,0),MATCH(DB$2,'NM O&amp;G Production'!$K$2:$O$2,0))</f>
        <v>27</v>
      </c>
      <c r="DC150" s="127">
        <f>DA150+DB150</f>
        <v>32</v>
      </c>
      <c r="DD150" s="127">
        <f>INDEX('NM O&amp;G Production'!$K$3:$O$537,MATCH($CY150,'NM O&amp;G Production'!$P$3:$P$537,0),MATCH(DD$2,'NM O&amp;G Production'!$K$2:$O$2,0))</f>
        <v>74837</v>
      </c>
      <c r="DE150" s="127">
        <f>INDEX('NM O&amp;G Production'!$K$3:$O$537,MATCH($CY150,'NM O&amp;G Production'!$P$3:$P$537,0),MATCH(DE$2,'NM O&amp;G Production'!$K$2:$O$2,0))</f>
        <v>20171</v>
      </c>
      <c r="DF150" s="258">
        <f>CK150/(DB150+DA150)</f>
        <v>227070.40625</v>
      </c>
      <c r="DG150" s="57">
        <f>DD150*(12/18)*1.06*'Oil and Gas Prices'!$C$18</f>
        <v>126394.70386666666</v>
      </c>
      <c r="DH150" s="284">
        <f>DE150*(12/18)*'Oil and Gas Prices'!$C$4</f>
        <v>605130</v>
      </c>
      <c r="DI150" s="284">
        <f>DG150+DH150</f>
        <v>731524.70386666665</v>
      </c>
      <c r="DJ150" s="57">
        <f>(DG150+DH150)/(DA150+DB150)</f>
        <v>22860.146995833333</v>
      </c>
      <c r="DK150" s="319"/>
    </row>
    <row r="151" spans="1:115" x14ac:dyDescent="0.25">
      <c r="A151" t="s">
        <v>1059</v>
      </c>
      <c r="B151" t="s">
        <v>1060</v>
      </c>
      <c r="D151" t="s">
        <v>1061</v>
      </c>
      <c r="E151" t="s">
        <v>61</v>
      </c>
      <c r="F151">
        <v>80265</v>
      </c>
      <c r="G151" t="s">
        <v>62</v>
      </c>
      <c r="I151">
        <v>140</v>
      </c>
      <c r="J151" t="s">
        <v>63</v>
      </c>
      <c r="K151" t="s">
        <v>4133</v>
      </c>
      <c r="L151" t="s">
        <v>64</v>
      </c>
      <c r="M151">
        <v>10</v>
      </c>
      <c r="N151" t="s">
        <v>1062</v>
      </c>
      <c r="O151" t="s">
        <v>1063</v>
      </c>
      <c r="Q151" t="s">
        <v>1064</v>
      </c>
      <c r="R151" t="s">
        <v>60</v>
      </c>
      <c r="S151" t="s">
        <v>68</v>
      </c>
      <c r="T151" t="s">
        <v>1065</v>
      </c>
      <c r="U151" t="s">
        <v>62</v>
      </c>
      <c r="V151">
        <v>3035731222</v>
      </c>
      <c r="W151" s="1">
        <v>6797487</v>
      </c>
      <c r="X151">
        <v>23</v>
      </c>
      <c r="Y151">
        <v>23</v>
      </c>
      <c r="Z151">
        <v>2004</v>
      </c>
      <c r="AA151" t="s">
        <v>70</v>
      </c>
      <c r="AB151" t="s">
        <v>1066</v>
      </c>
      <c r="AC151" t="s">
        <v>98</v>
      </c>
      <c r="AD151" t="s">
        <v>1067</v>
      </c>
      <c r="AE151">
        <v>1531</v>
      </c>
      <c r="AF151" t="s">
        <v>1068</v>
      </c>
      <c r="AI151">
        <v>15310000</v>
      </c>
      <c r="AJ151" t="s">
        <v>1069</v>
      </c>
      <c r="AM151">
        <v>236117</v>
      </c>
      <c r="AN151" t="s">
        <v>1070</v>
      </c>
      <c r="AQ151" t="s">
        <v>75</v>
      </c>
      <c r="AT151" t="s">
        <v>76</v>
      </c>
      <c r="BF151">
        <v>0</v>
      </c>
      <c r="BG151">
        <v>0</v>
      </c>
      <c r="CK151" s="19">
        <f>IF(BQ151&gt;0,BQ151,W151)</f>
        <v>6797487</v>
      </c>
      <c r="CL151" s="20">
        <f>IF(BS151&gt;0,BS151,Y151)</f>
        <v>23</v>
      </c>
      <c r="CM151" s="34">
        <f>IF(CG151&gt;0,CG151,AM151)</f>
        <v>236117</v>
      </c>
      <c r="CN151" s="80">
        <f>IF($BH151="",1,COUNTIF($BH$3:$BH151,$BH151))</f>
        <v>1</v>
      </c>
      <c r="CP151" t="str">
        <f>IF($K151="Standard Match","Match",IF($K151="Name Only Match",IF($CO151="Yes","Match","Name Only Match"),"No Match"))</f>
        <v>Match</v>
      </c>
      <c r="CQ151" s="35" t="str">
        <f>IF(AND(CP151="Match",CK151&gt;0,CL151&gt;0),"Y","N")</f>
        <v>Y</v>
      </c>
      <c r="CS151" t="str">
        <f>IF($CQ151="Y",VLOOKUP($CM151,'SBA Size Standards'!$B$3:$G$57,MATCH('SBA Size Standards'!$G$3,'SBA Size Standards'!$B$3:$G$3,0),FALSE),"")</f>
        <v>Revenue</v>
      </c>
      <c r="CT151" s="60">
        <f>IF(CQ151="Y",IF($CS151="Employment","N/A",VLOOKUP($CM151,'SBA Size Standards'!$B$3:$G$57,MATCH('SBA Size Standards'!$E$3,'SBA Size Standards'!$B$3:$G$3,0),FALSE)),"")</f>
        <v>39500000</v>
      </c>
      <c r="CU151" s="86" t="str">
        <f>IF($CQ151="Y",IF($CS151="Revenue","N/A",VLOOKUP($CM151,'SBA Size Standards'!$B$3:$G$57,MATCH('SBA Size Standards'!$F$3,'SBA Size Standards'!$B$3:$G$3,0),FALSE)),"")</f>
        <v>N/A</v>
      </c>
      <c r="CV151" t="str">
        <f>IF($CQ151="Y",IF(OR(AND($CS151="Employment",$CL151&lt;$CU151),AND($CS151="Revenue",$CK151&lt;$CT151)),"YES","NO"),"")</f>
        <v>YES</v>
      </c>
      <c r="CW151" s="90" t="str">
        <f>IF($CQ151="Y",INDEX('SBA Size Standards'!$N$3:$N$12,MATCH($CK151,'SBA Size Standards'!$O$3:$O$12,1)),"")</f>
        <v>$5,000,001 - $100,000,000</v>
      </c>
      <c r="CX151" s="122" t="s">
        <v>4596</v>
      </c>
      <c r="CY151" s="122">
        <f>INDEX('NM O&amp;G Production'!$P$3:$P$537,MATCH(CX151,'NM O&amp;G Production'!$Q$3:$Q$537,0))</f>
        <v>140</v>
      </c>
      <c r="CZ151" s="122" t="str">
        <f>INDEX('NM O&amp;G Production'!$O$3:$O$537,MATCH(CY151,'NM O&amp;G Production'!$P$3:$P$537,0))</f>
        <v>Yes</v>
      </c>
      <c r="DA151" s="127">
        <f>INDEX('NM O&amp;G Production'!$K$3:$O$537,MATCH($CY151,'NM O&amp;G Production'!$P$3:$P$537,0),MATCH(DA$2,'NM O&amp;G Production'!$K$2:$O$2,0))</f>
        <v>377</v>
      </c>
      <c r="DB151" s="127">
        <f>INDEX('NM O&amp;G Production'!$K$3:$O$537,MATCH($CY151,'NM O&amp;G Production'!$P$3:$P$537,0),MATCH(DB$2,'NM O&amp;G Production'!$K$2:$O$2,0))</f>
        <v>440</v>
      </c>
      <c r="DC151" s="127">
        <f>DA151+DB151</f>
        <v>817</v>
      </c>
      <c r="DD151" s="127">
        <f>INDEX('NM O&amp;G Production'!$K$3:$O$537,MATCH($CY151,'NM O&amp;G Production'!$P$3:$P$537,0),MATCH(DD$2,'NM O&amp;G Production'!$K$2:$O$2,0))</f>
        <v>37662797</v>
      </c>
      <c r="DE151" s="127">
        <f>INDEX('NM O&amp;G Production'!$K$3:$O$537,MATCH($CY151,'NM O&amp;G Production'!$P$3:$P$537,0),MATCH(DE$2,'NM O&amp;G Production'!$K$2:$O$2,0))</f>
        <v>5343970</v>
      </c>
      <c r="DF151" s="258">
        <f>CK151/(DB151+DA151)</f>
        <v>8320.0575275397805</v>
      </c>
      <c r="DG151" s="57">
        <f>DD151*(12/18)*1.06*'Oil and Gas Prices'!$C$18</f>
        <v>63609953.279866673</v>
      </c>
      <c r="DH151" s="284">
        <f>DE151*(12/18)*'Oil and Gas Prices'!$C$4</f>
        <v>160319100</v>
      </c>
      <c r="DI151" s="284">
        <f>DG151+DH151</f>
        <v>223929053.27986667</v>
      </c>
      <c r="DJ151" s="57">
        <f>(DG151+DH151)/(DA151+DB151)</f>
        <v>274086.96851880866</v>
      </c>
      <c r="DK151" s="318"/>
    </row>
    <row r="152" spans="1:115" x14ac:dyDescent="0.25">
      <c r="A152" t="s">
        <v>1585</v>
      </c>
      <c r="B152" t="s">
        <v>1586</v>
      </c>
      <c r="D152" t="s">
        <v>585</v>
      </c>
      <c r="E152" t="s">
        <v>184</v>
      </c>
      <c r="F152">
        <v>73116</v>
      </c>
      <c r="G152" t="s">
        <v>62</v>
      </c>
      <c r="I152">
        <v>215</v>
      </c>
      <c r="J152" t="s">
        <v>63</v>
      </c>
      <c r="K152" t="s">
        <v>4133</v>
      </c>
      <c r="L152" t="s">
        <v>64</v>
      </c>
      <c r="M152">
        <v>10</v>
      </c>
      <c r="N152" t="s">
        <v>1587</v>
      </c>
      <c r="O152" t="s">
        <v>1588</v>
      </c>
      <c r="Q152" t="s">
        <v>1589</v>
      </c>
      <c r="R152" t="s">
        <v>585</v>
      </c>
      <c r="S152" t="s">
        <v>188</v>
      </c>
      <c r="T152">
        <v>73116</v>
      </c>
      <c r="U152" t="s">
        <v>62</v>
      </c>
      <c r="V152">
        <v>4058409876</v>
      </c>
      <c r="W152" s="1">
        <v>6788129</v>
      </c>
      <c r="X152">
        <v>18</v>
      </c>
      <c r="Y152">
        <v>18</v>
      </c>
      <c r="Z152">
        <v>1996</v>
      </c>
      <c r="AA152" t="s">
        <v>70</v>
      </c>
      <c r="AB152" t="s">
        <v>1590</v>
      </c>
      <c r="AC152" t="s">
        <v>145</v>
      </c>
      <c r="AD152" t="s">
        <v>517</v>
      </c>
      <c r="AE152">
        <v>1381</v>
      </c>
      <c r="AF152" t="s">
        <v>518</v>
      </c>
      <c r="AI152">
        <v>13810000</v>
      </c>
      <c r="AJ152" t="s">
        <v>519</v>
      </c>
      <c r="AM152">
        <v>213111</v>
      </c>
      <c r="AN152" t="s">
        <v>518</v>
      </c>
      <c r="AQ152" t="s">
        <v>75</v>
      </c>
      <c r="AT152" t="s">
        <v>76</v>
      </c>
      <c r="BF152">
        <v>0</v>
      </c>
      <c r="BG152">
        <v>0</v>
      </c>
      <c r="CK152" s="19">
        <f>IF(BQ152&gt;0,BQ152,W152)</f>
        <v>6788129</v>
      </c>
      <c r="CL152" s="20">
        <f>IF(BS152&gt;0,BS152,Y152)</f>
        <v>18</v>
      </c>
      <c r="CM152" s="34">
        <f>IF(CG152&gt;0,CG152,AM152)</f>
        <v>213111</v>
      </c>
      <c r="CN152" s="80">
        <f>IF($BH152="",1,COUNTIF($BH$3:$BH152,$BH152))</f>
        <v>1</v>
      </c>
      <c r="CP152" t="str">
        <f>IF($K152="Standard Match","Match",IF($K152="Name Only Match",IF($CO152="Yes","Match","Name Only Match"),"No Match"))</f>
        <v>Match</v>
      </c>
      <c r="CQ152" s="35" t="str">
        <f>IF(AND(CP152="Match",CK152&gt;0,CL152&gt;0),"Y","N")</f>
        <v>Y</v>
      </c>
      <c r="CS152" t="str">
        <f>IF($CQ152="Y",VLOOKUP($CM152,'SBA Size Standards'!$B$3:$G$57,MATCH('SBA Size Standards'!$G$3,'SBA Size Standards'!$B$3:$G$3,0),FALSE),"")</f>
        <v>Employment</v>
      </c>
      <c r="CT152" s="60" t="str">
        <f>IF(CQ152="Y",IF($CS152="Employment","N/A",VLOOKUP($CM152,'SBA Size Standards'!$B$3:$G$57,MATCH('SBA Size Standards'!$E$3,'SBA Size Standards'!$B$3:$G$3,0),FALSE)),"")</f>
        <v>N/A</v>
      </c>
      <c r="CU152" s="86">
        <f>IF($CQ152="Y",IF($CS152="Revenue","N/A",VLOOKUP($CM152,'SBA Size Standards'!$B$3:$G$57,MATCH('SBA Size Standards'!$F$3,'SBA Size Standards'!$B$3:$G$3,0),FALSE)),"")</f>
        <v>1000</v>
      </c>
      <c r="CV152" t="str">
        <f>IF($CQ152="Y",IF(OR(AND($CS152="Employment",$CL152&lt;$CU152),AND($CS152="Revenue",$CK152&lt;$CT152)),"YES","NO"),"")</f>
        <v>YES</v>
      </c>
      <c r="CW152" s="90" t="str">
        <f>IF($CQ152="Y",INDEX('SBA Size Standards'!$N$3:$N$12,MATCH($CK152,'SBA Size Standards'!$O$3:$O$12,1)),"")</f>
        <v>$5,000,001 - $100,000,000</v>
      </c>
      <c r="CX152" s="122" t="s">
        <v>4638</v>
      </c>
      <c r="CY152" s="122">
        <f>INDEX('NM O&amp;G Production'!$P$3:$P$537,MATCH(CX152,'NM O&amp;G Production'!$Q$3:$Q$537,0))</f>
        <v>215</v>
      </c>
      <c r="CZ152" s="122" t="str">
        <f>INDEX('NM O&amp;G Production'!$O$3:$O$537,MATCH(CY152,'NM O&amp;G Production'!$P$3:$P$537,0))</f>
        <v>Yes</v>
      </c>
      <c r="DA152" s="127">
        <f>INDEX('NM O&amp;G Production'!$K$3:$O$537,MATCH($CY152,'NM O&amp;G Production'!$P$3:$P$537,0),MATCH(DA$2,'NM O&amp;G Production'!$K$2:$O$2,0))</f>
        <v>6</v>
      </c>
      <c r="DB152" s="127">
        <f>INDEX('NM O&amp;G Production'!$K$3:$O$537,MATCH($CY152,'NM O&amp;G Production'!$P$3:$P$537,0),MATCH(DB$2,'NM O&amp;G Production'!$K$2:$O$2,0))</f>
        <v>8</v>
      </c>
      <c r="DC152" s="127">
        <f>DA152+DB152</f>
        <v>14</v>
      </c>
      <c r="DD152" s="127">
        <f>INDEX('NM O&amp;G Production'!$K$3:$O$537,MATCH($CY152,'NM O&amp;G Production'!$P$3:$P$537,0),MATCH(DD$2,'NM O&amp;G Production'!$K$2:$O$2,0))</f>
        <v>555307</v>
      </c>
      <c r="DE152" s="127">
        <f>INDEX('NM O&amp;G Production'!$K$3:$O$537,MATCH($CY152,'NM O&amp;G Production'!$P$3:$P$537,0),MATCH(DE$2,'NM O&amp;G Production'!$K$2:$O$2,0))</f>
        <v>0</v>
      </c>
      <c r="DF152" s="258">
        <f>CK152/(DB152+DA152)</f>
        <v>484866.35714285716</v>
      </c>
      <c r="DG152" s="57">
        <f>DD152*(12/18)*1.06*'Oil and Gas Prices'!$C$18</f>
        <v>937876.50253333338</v>
      </c>
      <c r="DH152" s="284">
        <f>DE152*(12/18)*'Oil and Gas Prices'!$C$4</f>
        <v>0</v>
      </c>
      <c r="DI152" s="284">
        <f>DG152+DH152</f>
        <v>937876.50253333338</v>
      </c>
      <c r="DJ152" s="57">
        <f>(DG152+DH152)/(DA152+DB152)</f>
        <v>66991.178752380962</v>
      </c>
      <c r="DK152" s="319"/>
    </row>
    <row r="153" spans="1:115" x14ac:dyDescent="0.25">
      <c r="A153" t="s">
        <v>2222</v>
      </c>
      <c r="B153" t="s">
        <v>2223</v>
      </c>
      <c r="D153" t="s">
        <v>153</v>
      </c>
      <c r="E153" t="s">
        <v>80</v>
      </c>
      <c r="F153">
        <v>79702</v>
      </c>
      <c r="G153" t="s">
        <v>62</v>
      </c>
      <c r="I153">
        <v>314</v>
      </c>
      <c r="J153" t="s">
        <v>404</v>
      </c>
      <c r="K153" t="s">
        <v>4133</v>
      </c>
      <c r="L153" t="s">
        <v>419</v>
      </c>
      <c r="M153">
        <v>8</v>
      </c>
      <c r="N153" t="s">
        <v>2224</v>
      </c>
      <c r="O153" t="s">
        <v>2225</v>
      </c>
      <c r="Q153" t="s">
        <v>2226</v>
      </c>
      <c r="R153" t="s">
        <v>153</v>
      </c>
      <c r="S153" t="s">
        <v>94</v>
      </c>
      <c r="T153" t="s">
        <v>2227</v>
      </c>
      <c r="U153" t="s">
        <v>62</v>
      </c>
      <c r="V153">
        <v>4326882000</v>
      </c>
      <c r="W153" s="1">
        <v>6700000</v>
      </c>
      <c r="X153">
        <v>200</v>
      </c>
      <c r="Y153">
        <v>0</v>
      </c>
      <c r="AA153" t="s">
        <v>70</v>
      </c>
      <c r="AB153" t="s">
        <v>2228</v>
      </c>
      <c r="AC153" t="s">
        <v>677</v>
      </c>
      <c r="AD153" t="s">
        <v>494</v>
      </c>
      <c r="AE153">
        <v>8741</v>
      </c>
      <c r="AF153" t="s">
        <v>495</v>
      </c>
      <c r="AI153">
        <v>87410000</v>
      </c>
      <c r="AJ153" t="s">
        <v>496</v>
      </c>
      <c r="AM153">
        <v>561110</v>
      </c>
      <c r="AN153" t="s">
        <v>497</v>
      </c>
      <c r="AQ153" t="s">
        <v>75</v>
      </c>
      <c r="AT153" t="s">
        <v>76</v>
      </c>
      <c r="BF153">
        <v>0</v>
      </c>
      <c r="BG153">
        <v>0</v>
      </c>
      <c r="CK153" s="19">
        <f>IF(BQ153&gt;0,BQ153,W153)</f>
        <v>6700000</v>
      </c>
      <c r="CL153" s="20">
        <f>IF(BS153&gt;0,BS153,Y153)</f>
        <v>0</v>
      </c>
      <c r="CM153" s="78">
        <f>IF(CG153&gt;0,CG153,AM153)</f>
        <v>561110</v>
      </c>
      <c r="CN153" s="80">
        <f>IF($BH153="",1,COUNTIF($BH$3:$BH153,$BH153))</f>
        <v>1</v>
      </c>
      <c r="CP153" t="str">
        <f>IF($K153="Standard Match","Match",IF($K153="Name Only Match",IF($CO153="Yes","Match","Name Only Match"),"No Match"))</f>
        <v>Match</v>
      </c>
      <c r="CQ153" s="35" t="str">
        <f>IF(AND(CP153="Match",CK153&gt;0,CL153&gt;0),"Y","N")</f>
        <v>N</v>
      </c>
      <c r="CS153" t="str">
        <f>IF($CQ153="Y",VLOOKUP($CM153,'SBA Size Standards'!$B$3:$G$57,MATCH('SBA Size Standards'!$G$3,'SBA Size Standards'!$B$3:$G$3,0),FALSE),"")</f>
        <v/>
      </c>
      <c r="CT153" s="60" t="str">
        <f>IF(CQ153="Y",IF($CS153="Employment","N/A",VLOOKUP($CM153,'SBA Size Standards'!$B$3:$G$57,MATCH('SBA Size Standards'!$E$3,'SBA Size Standards'!$B$3:$G$3,0),FALSE)),"")</f>
        <v/>
      </c>
      <c r="CU153" s="86" t="str">
        <f>IF($CQ153="Y",IF($CS153="Revenue","N/A",VLOOKUP($CM153,'SBA Size Standards'!$B$3:$G$57,MATCH('SBA Size Standards'!$F$3,'SBA Size Standards'!$B$3:$G$3,0),FALSE)),"")</f>
        <v/>
      </c>
      <c r="CV153" t="str">
        <f>IF($CQ153="Y",IF(OR(AND($CS153="Employment",$CL153&lt;$CU153),AND($CS153="Revenue",$CK153&lt;$CT153)),"YES","NO"),"")</f>
        <v/>
      </c>
      <c r="CW153" s="90" t="str">
        <f>IF($CQ153="Y",INDEX('SBA Size Standards'!$N$3:$N$12,MATCH($CK153,'SBA Size Standards'!$O$3:$O$12,1)),"")</f>
        <v/>
      </c>
      <c r="CX153" s="122" t="s">
        <v>4871</v>
      </c>
      <c r="CY153" s="122">
        <f>INDEX('NM O&amp;G Production'!$P$3:$P$537,MATCH(CX153,'NM O&amp;G Production'!$Q$3:$Q$537,0))</f>
        <v>314</v>
      </c>
      <c r="CZ153" s="122" t="str">
        <f>INDEX('NM O&amp;G Production'!$O$3:$O$537,MATCH(CY153,'NM O&amp;G Production'!$P$3:$P$537,0))</f>
        <v>No</v>
      </c>
      <c r="DA153" s="127">
        <f>INDEX('NM O&amp;G Production'!$K$3:$O$537,MATCH($CY153,'NM O&amp;G Production'!$P$3:$P$537,0),MATCH(DA$2,'NM O&amp;G Production'!$K$2:$O$2,0))</f>
        <v>0</v>
      </c>
      <c r="DB153" s="127">
        <f>INDEX('NM O&amp;G Production'!$K$3:$O$537,MATCH($CY153,'NM O&amp;G Production'!$P$3:$P$537,0),MATCH(DB$2,'NM O&amp;G Production'!$K$2:$O$2,0))</f>
        <v>0</v>
      </c>
      <c r="DC153" s="127"/>
      <c r="DD153" s="127">
        <f>INDEX('NM O&amp;G Production'!$K$3:$O$537,MATCH($CY153,'NM O&amp;G Production'!$P$3:$P$537,0),MATCH(DD$2,'NM O&amp;G Production'!$K$2:$O$2,0))</f>
        <v>0</v>
      </c>
      <c r="DE153" s="127">
        <f>INDEX('NM O&amp;G Production'!$K$3:$O$537,MATCH($CY153,'NM O&amp;G Production'!$P$3:$P$537,0),MATCH(DE$2,'NM O&amp;G Production'!$K$2:$O$2,0))</f>
        <v>0</v>
      </c>
      <c r="DF153" s="258" t="e">
        <f>CK153/(DB153+DA153)</f>
        <v>#DIV/0!</v>
      </c>
      <c r="DG153" s="57">
        <f>DD153*(12/18)*1.06*'Oil and Gas Prices'!$C$18</f>
        <v>0</v>
      </c>
      <c r="DH153" s="284">
        <f>DE153*(12/18)*'Oil and Gas Prices'!$C$4</f>
        <v>0</v>
      </c>
      <c r="DI153" s="284"/>
      <c r="DJ153" s="57" t="e">
        <f>(DG153+DH153)/(DA153+DB153)</f>
        <v>#DIV/0!</v>
      </c>
      <c r="DK153" s="18" t="e">
        <f>CK153/DI153</f>
        <v>#DIV/0!</v>
      </c>
    </row>
    <row r="154" spans="1:115" x14ac:dyDescent="0.25">
      <c r="A154" t="s">
        <v>3099</v>
      </c>
      <c r="B154" t="s">
        <v>3100</v>
      </c>
      <c r="D154" t="s">
        <v>418</v>
      </c>
      <c r="E154" t="s">
        <v>80</v>
      </c>
      <c r="F154">
        <v>76307</v>
      </c>
      <c r="G154" t="s">
        <v>62</v>
      </c>
      <c r="I154">
        <v>454</v>
      </c>
      <c r="J154" t="s">
        <v>63</v>
      </c>
      <c r="K154" t="s">
        <v>4133</v>
      </c>
      <c r="L154" t="s">
        <v>149</v>
      </c>
      <c r="M154">
        <v>10</v>
      </c>
      <c r="N154" t="s">
        <v>3101</v>
      </c>
      <c r="O154" t="s">
        <v>3102</v>
      </c>
      <c r="P154" t="s">
        <v>3103</v>
      </c>
      <c r="Q154" t="s">
        <v>3104</v>
      </c>
      <c r="R154" t="s">
        <v>418</v>
      </c>
      <c r="S154" t="s">
        <v>94</v>
      </c>
      <c r="T154" t="s">
        <v>3105</v>
      </c>
      <c r="U154" t="s">
        <v>62</v>
      </c>
      <c r="V154">
        <v>9407232166</v>
      </c>
      <c r="W154" s="1">
        <v>6623483</v>
      </c>
      <c r="X154">
        <v>50</v>
      </c>
      <c r="Y154">
        <v>50</v>
      </c>
      <c r="Z154">
        <v>1993</v>
      </c>
      <c r="AA154" t="s">
        <v>70</v>
      </c>
      <c r="AB154" t="s">
        <v>3106</v>
      </c>
      <c r="AC154" t="s">
        <v>98</v>
      </c>
      <c r="AD154" t="s">
        <v>71</v>
      </c>
      <c r="AE154">
        <v>1389</v>
      </c>
      <c r="AF154" t="s">
        <v>72</v>
      </c>
      <c r="AI154">
        <v>13899915</v>
      </c>
      <c r="AJ154" t="s">
        <v>3107</v>
      </c>
      <c r="AM154">
        <v>213112</v>
      </c>
      <c r="AN154" t="s">
        <v>74</v>
      </c>
      <c r="AQ154" t="s">
        <v>75</v>
      </c>
      <c r="AT154" t="s">
        <v>76</v>
      </c>
      <c r="BF154">
        <v>0</v>
      </c>
      <c r="BG154">
        <v>0</v>
      </c>
      <c r="CK154" s="19">
        <f>IF(BQ154&gt;0,BQ154,W154)</f>
        <v>6623483</v>
      </c>
      <c r="CL154" s="20">
        <f>IF(BS154&gt;0,BS154,Y154)</f>
        <v>50</v>
      </c>
      <c r="CM154" s="34">
        <f>IF(CG154&gt;0,CG154,AM154)</f>
        <v>213112</v>
      </c>
      <c r="CN154" s="80">
        <f>IF($BH154="",1,COUNTIF($BH$3:$BH154,$BH154))</f>
        <v>1</v>
      </c>
      <c r="CP154" t="str">
        <f>IF($K154="Standard Match","Match",IF($K154="Name Only Match",IF($CO154="Yes","Match","Name Only Match"),"No Match"))</f>
        <v>Match</v>
      </c>
      <c r="CQ154" s="35" t="str">
        <f>IF(AND(CP154="Match",CK154&gt;0,CL154&gt;0),"Y","N")</f>
        <v>Y</v>
      </c>
      <c r="CS154" t="str">
        <f>IF($CQ154="Y",VLOOKUP($CM154,'SBA Size Standards'!$B$3:$G$57,MATCH('SBA Size Standards'!$G$3,'SBA Size Standards'!$B$3:$G$3,0),FALSE),"")</f>
        <v>Revenue</v>
      </c>
      <c r="CT154" s="60">
        <f>IF(CQ154="Y",IF($CS154="Employment","N/A",VLOOKUP($CM154,'SBA Size Standards'!$B$3:$G$57,MATCH('SBA Size Standards'!$E$3,'SBA Size Standards'!$B$3:$G$3,0),FALSE)),"")</f>
        <v>41500000</v>
      </c>
      <c r="CU154" s="86" t="str">
        <f>IF($CQ154="Y",IF($CS154="Revenue","N/A",VLOOKUP($CM154,'SBA Size Standards'!$B$3:$G$57,MATCH('SBA Size Standards'!$F$3,'SBA Size Standards'!$B$3:$G$3,0),FALSE)),"")</f>
        <v>N/A</v>
      </c>
      <c r="CV154" t="str">
        <f>IF($CQ154="Y",IF(OR(AND($CS154="Employment",$CL154&lt;$CU154),AND($CS154="Revenue",$CK154&lt;$CT154)),"YES","NO"),"")</f>
        <v>YES</v>
      </c>
      <c r="CW154" s="90" t="str">
        <f>IF($CQ154="Y",INDEX('SBA Size Standards'!$N$3:$N$12,MATCH($CK154,'SBA Size Standards'!$O$3:$O$12,1)),"")</f>
        <v>$5,000,001 - $100,000,000</v>
      </c>
      <c r="CX154" s="122" t="s">
        <v>4756</v>
      </c>
      <c r="CY154" s="122">
        <f>INDEX('NM O&amp;G Production'!$P$3:$P$537,MATCH(CX154,'NM O&amp;G Production'!$Q$3:$Q$537,0))</f>
        <v>454</v>
      </c>
      <c r="CZ154" s="122" t="str">
        <f>INDEX('NM O&amp;G Production'!$O$3:$O$537,MATCH(CY154,'NM O&amp;G Production'!$P$3:$P$537,0))</f>
        <v>Yes</v>
      </c>
      <c r="DA154" s="127">
        <f>INDEX('NM O&amp;G Production'!$K$3:$O$537,MATCH($CY154,'NM O&amp;G Production'!$P$3:$P$537,0),MATCH(DA$2,'NM O&amp;G Production'!$K$2:$O$2,0))</f>
        <v>16</v>
      </c>
      <c r="DB154" s="127">
        <f>INDEX('NM O&amp;G Production'!$K$3:$O$537,MATCH($CY154,'NM O&amp;G Production'!$P$3:$P$537,0),MATCH(DB$2,'NM O&amp;G Production'!$K$2:$O$2,0))</f>
        <v>183</v>
      </c>
      <c r="DC154" s="127">
        <f>DA154+DB154</f>
        <v>199</v>
      </c>
      <c r="DD154" s="127">
        <f>INDEX('NM O&amp;G Production'!$K$3:$O$537,MATCH($CY154,'NM O&amp;G Production'!$P$3:$P$537,0),MATCH(DD$2,'NM O&amp;G Production'!$K$2:$O$2,0))</f>
        <v>1573198</v>
      </c>
      <c r="DE154" s="127">
        <f>INDEX('NM O&amp;G Production'!$K$3:$O$537,MATCH($CY154,'NM O&amp;G Production'!$P$3:$P$537,0),MATCH(DE$2,'NM O&amp;G Production'!$K$2:$O$2,0))</f>
        <v>284792</v>
      </c>
      <c r="DF154" s="258">
        <f>CK154/(DB154+DA154)</f>
        <v>33283.834170854272</v>
      </c>
      <c r="DG154" s="57">
        <f>DD154*(12/18)*1.06*'Oil and Gas Prices'!$C$18</f>
        <v>2657026.5421333336</v>
      </c>
      <c r="DH154" s="284">
        <f>DE154*(12/18)*'Oil and Gas Prices'!$C$4</f>
        <v>8543760</v>
      </c>
      <c r="DI154" s="284">
        <f>DG154+DH154</f>
        <v>11200786.542133333</v>
      </c>
      <c r="DJ154" s="57">
        <f>(DG154+DH154)/(DA154+DB154)</f>
        <v>56285.359508207701</v>
      </c>
      <c r="DK154" s="318"/>
    </row>
    <row r="155" spans="1:115" x14ac:dyDescent="0.25">
      <c r="A155" t="s">
        <v>2136</v>
      </c>
      <c r="B155" t="s">
        <v>2137</v>
      </c>
      <c r="D155" t="s">
        <v>2143</v>
      </c>
      <c r="E155" t="s">
        <v>61</v>
      </c>
      <c r="F155" t="s">
        <v>2138</v>
      </c>
      <c r="G155" t="s">
        <v>62</v>
      </c>
      <c r="I155">
        <v>303</v>
      </c>
      <c r="J155" t="s">
        <v>63</v>
      </c>
      <c r="K155" t="s">
        <v>4133</v>
      </c>
      <c r="L155" t="s">
        <v>247</v>
      </c>
      <c r="M155">
        <v>10</v>
      </c>
      <c r="N155" t="s">
        <v>2139</v>
      </c>
      <c r="O155" t="s">
        <v>2140</v>
      </c>
      <c r="P155" t="s">
        <v>2141</v>
      </c>
      <c r="Q155" t="s">
        <v>2142</v>
      </c>
      <c r="R155" t="s">
        <v>2143</v>
      </c>
      <c r="S155" t="s">
        <v>68</v>
      </c>
      <c r="T155" t="s">
        <v>2138</v>
      </c>
      <c r="U155" t="s">
        <v>62</v>
      </c>
      <c r="V155">
        <v>3034264777</v>
      </c>
      <c r="W155" s="1">
        <v>6253635</v>
      </c>
      <c r="X155">
        <v>15</v>
      </c>
      <c r="Y155">
        <v>60</v>
      </c>
      <c r="Z155">
        <v>1980</v>
      </c>
      <c r="AA155" t="s">
        <v>163</v>
      </c>
      <c r="AB155" t="s">
        <v>2144</v>
      </c>
      <c r="AC155" t="s">
        <v>231</v>
      </c>
      <c r="AD155" t="s">
        <v>2145</v>
      </c>
      <c r="AE155">
        <v>2992</v>
      </c>
      <c r="AF155" t="s">
        <v>2146</v>
      </c>
      <c r="AG155">
        <v>5171</v>
      </c>
      <c r="AH155" t="s">
        <v>858</v>
      </c>
      <c r="AI155">
        <v>29929902</v>
      </c>
      <c r="AJ155" t="s">
        <v>2147</v>
      </c>
      <c r="AK155">
        <v>51719901</v>
      </c>
      <c r="AL155" t="s">
        <v>859</v>
      </c>
      <c r="AM155">
        <v>324191</v>
      </c>
      <c r="AN155" t="s">
        <v>2148</v>
      </c>
      <c r="AO155">
        <v>424710</v>
      </c>
      <c r="AP155" t="s">
        <v>858</v>
      </c>
      <c r="AQ155" t="s">
        <v>75</v>
      </c>
      <c r="AR155" t="s">
        <v>2139</v>
      </c>
      <c r="AS155" t="s">
        <v>2140</v>
      </c>
      <c r="AT155" t="s">
        <v>427</v>
      </c>
      <c r="AU155" t="s">
        <v>61</v>
      </c>
      <c r="AV155" t="s">
        <v>62</v>
      </c>
      <c r="AW155" t="s">
        <v>2139</v>
      </c>
      <c r="AX155" t="s">
        <v>2140</v>
      </c>
      <c r="AY155" t="s">
        <v>61</v>
      </c>
      <c r="AZ155" t="s">
        <v>62</v>
      </c>
      <c r="BE155" t="s">
        <v>62</v>
      </c>
      <c r="BF155">
        <v>1</v>
      </c>
      <c r="BG155">
        <v>3</v>
      </c>
      <c r="BH155" s="4" t="s">
        <v>2139</v>
      </c>
      <c r="BI155" s="4" t="s">
        <v>2140</v>
      </c>
      <c r="BJ155" s="4" t="s">
        <v>2141</v>
      </c>
      <c r="BK155" s="4" t="s">
        <v>2142</v>
      </c>
      <c r="BL155" s="4" t="s">
        <v>2143</v>
      </c>
      <c r="BM155" s="4" t="s">
        <v>68</v>
      </c>
      <c r="BN155" s="4" t="s">
        <v>2138</v>
      </c>
      <c r="BO155" s="4" t="s">
        <v>62</v>
      </c>
      <c r="BP155" s="4">
        <v>3034264777</v>
      </c>
      <c r="BQ155" s="5">
        <v>6253635</v>
      </c>
      <c r="BR155" s="4">
        <v>15</v>
      </c>
      <c r="BS155" s="4">
        <v>60</v>
      </c>
      <c r="BT155" s="4">
        <v>1980</v>
      </c>
      <c r="BU155" s="4" t="s">
        <v>163</v>
      </c>
      <c r="BV155" s="4" t="s">
        <v>2144</v>
      </c>
      <c r="BW155" s="4" t="s">
        <v>231</v>
      </c>
      <c r="BX155" s="4" t="s">
        <v>2145</v>
      </c>
      <c r="BY155" s="4">
        <v>2992</v>
      </c>
      <c r="BZ155" s="4" t="s">
        <v>2146</v>
      </c>
      <c r="CA155" s="4">
        <v>5171</v>
      </c>
      <c r="CB155" s="4" t="s">
        <v>858</v>
      </c>
      <c r="CC155" s="4">
        <v>29929902</v>
      </c>
      <c r="CD155" s="4" t="s">
        <v>2147</v>
      </c>
      <c r="CE155" s="4">
        <v>51719901</v>
      </c>
      <c r="CF155" s="4" t="s">
        <v>859</v>
      </c>
      <c r="CG155" s="4">
        <v>324191</v>
      </c>
      <c r="CH155" s="4" t="s">
        <v>2148</v>
      </c>
      <c r="CI155" s="4">
        <v>424710</v>
      </c>
      <c r="CJ155" s="4" t="s">
        <v>858</v>
      </c>
      <c r="CK155" s="19">
        <f>IF(BQ155&gt;0,BQ155,W155)</f>
        <v>6253635</v>
      </c>
      <c r="CL155" s="20">
        <f>IF(BS155&gt;0,BS155,Y155)</f>
        <v>60</v>
      </c>
      <c r="CM155" s="34">
        <f>IF(CG155&gt;0,CG155,AM155)</f>
        <v>324191</v>
      </c>
      <c r="CN155" s="80">
        <f>IF($BH155="",1,COUNTIF($BH$3:$BH155,$BH155))</f>
        <v>1</v>
      </c>
      <c r="CP155" t="str">
        <f>IF($K155="Standard Match","Match",IF($K155="Name Only Match",IF($CO155="Yes","Match","Name Only Match"),"No Match"))</f>
        <v>Match</v>
      </c>
      <c r="CQ155" s="35" t="str">
        <f>IF(AND(CP155="Match",CK155&gt;0,CL155&gt;0),"Y","N")</f>
        <v>Y</v>
      </c>
      <c r="CS155" t="str">
        <f>IF($CQ155="Y",VLOOKUP($CM155,'SBA Size Standards'!$B$3:$G$57,MATCH('SBA Size Standards'!$G$3,'SBA Size Standards'!$B$3:$G$3,0),FALSE),"")</f>
        <v>Employment</v>
      </c>
      <c r="CT155" s="60" t="str">
        <f>IF(CQ155="Y",IF($CS155="Employment","N/A",VLOOKUP($CM155,'SBA Size Standards'!$B$3:$G$57,MATCH('SBA Size Standards'!$E$3,'SBA Size Standards'!$B$3:$G$3,0),FALSE)),"")</f>
        <v>N/A</v>
      </c>
      <c r="CU155" s="86">
        <f>IF($CQ155="Y",IF($CS155="Revenue","N/A",VLOOKUP($CM155,'SBA Size Standards'!$B$3:$G$57,MATCH('SBA Size Standards'!$F$3,'SBA Size Standards'!$B$3:$G$3,0),FALSE)),"")</f>
        <v>750</v>
      </c>
      <c r="CV155" t="str">
        <f>IF($CQ155="Y",IF(OR(AND($CS155="Employment",$CL155&lt;$CU155),AND($CS155="Revenue",$CK155&lt;$CT155)),"YES","NO"),"")</f>
        <v>YES</v>
      </c>
      <c r="CW155" s="90" t="str">
        <f>IF($CQ155="Y",INDEX('SBA Size Standards'!$N$3:$N$12,MATCH($CK155,'SBA Size Standards'!$O$3:$O$12,1)),"")</f>
        <v>$5,000,001 - $100,000,000</v>
      </c>
      <c r="CX155" s="122" t="s">
        <v>5067</v>
      </c>
      <c r="CY155" s="122">
        <f>INDEX('NM O&amp;G Production'!$P$3:$P$537,MATCH(CX155,'NM O&amp;G Production'!$Q$3:$Q$537,0))</f>
        <v>303</v>
      </c>
      <c r="CZ155" s="122" t="str">
        <f>INDEX('NM O&amp;G Production'!$O$3:$O$537,MATCH(CY155,'NM O&amp;G Production'!$P$3:$P$537,0))</f>
        <v>No</v>
      </c>
      <c r="DA155" s="127">
        <f>INDEX('NM O&amp;G Production'!$K$3:$O$537,MATCH($CY155,'NM O&amp;G Production'!$P$3:$P$537,0),MATCH(DA$2,'NM O&amp;G Production'!$K$2:$O$2,0))</f>
        <v>0</v>
      </c>
      <c r="DB155" s="127">
        <f>INDEX('NM O&amp;G Production'!$K$3:$O$537,MATCH($CY155,'NM O&amp;G Production'!$P$3:$P$537,0),MATCH(DB$2,'NM O&amp;G Production'!$K$2:$O$2,0))</f>
        <v>0</v>
      </c>
      <c r="DC155" s="127"/>
      <c r="DD155" s="127">
        <f>INDEX('NM O&amp;G Production'!$K$3:$O$537,MATCH($CY155,'NM O&amp;G Production'!$P$3:$P$537,0),MATCH(DD$2,'NM O&amp;G Production'!$K$2:$O$2,0))</f>
        <v>0</v>
      </c>
      <c r="DE155" s="127">
        <f>INDEX('NM O&amp;G Production'!$K$3:$O$537,MATCH($CY155,'NM O&amp;G Production'!$P$3:$P$537,0),MATCH(DE$2,'NM O&amp;G Production'!$K$2:$O$2,0))</f>
        <v>0</v>
      </c>
      <c r="DF155" s="258" t="e">
        <f>CK155/(DB155+DA155)</f>
        <v>#DIV/0!</v>
      </c>
      <c r="DG155" s="57">
        <f>DD155*(12/18)*1.06*'Oil and Gas Prices'!$C$18</f>
        <v>0</v>
      </c>
      <c r="DH155" s="284">
        <f>DE155*(12/18)*'Oil and Gas Prices'!$C$4</f>
        <v>0</v>
      </c>
      <c r="DI155" s="284"/>
      <c r="DJ155" s="57" t="e">
        <f>(DG155+DH155)/(DA155+DB155)</f>
        <v>#DIV/0!</v>
      </c>
      <c r="DK155" s="18" t="e">
        <f>CK155/DI155</f>
        <v>#DIV/0!</v>
      </c>
    </row>
    <row r="156" spans="1:115" x14ac:dyDescent="0.25">
      <c r="A156" t="s">
        <v>831</v>
      </c>
      <c r="B156" t="s">
        <v>832</v>
      </c>
      <c r="D156" t="s">
        <v>88</v>
      </c>
      <c r="E156" t="s">
        <v>80</v>
      </c>
      <c r="F156">
        <v>76102</v>
      </c>
      <c r="G156" t="s">
        <v>62</v>
      </c>
      <c r="I156">
        <v>106</v>
      </c>
      <c r="J156" t="s">
        <v>63</v>
      </c>
      <c r="K156" t="s">
        <v>4133</v>
      </c>
      <c r="L156" t="s">
        <v>833</v>
      </c>
      <c r="M156">
        <v>10</v>
      </c>
      <c r="N156" t="s">
        <v>834</v>
      </c>
      <c r="O156" t="s">
        <v>835</v>
      </c>
      <c r="Q156" t="s">
        <v>836</v>
      </c>
      <c r="R156" t="s">
        <v>88</v>
      </c>
      <c r="S156" t="s">
        <v>94</v>
      </c>
      <c r="T156">
        <v>76102</v>
      </c>
      <c r="U156" t="s">
        <v>62</v>
      </c>
      <c r="V156">
        <v>8173347800</v>
      </c>
      <c r="W156" s="1">
        <v>6132562</v>
      </c>
      <c r="X156">
        <v>17</v>
      </c>
      <c r="Y156">
        <v>60</v>
      </c>
      <c r="Z156">
        <v>2012</v>
      </c>
      <c r="AA156" t="s">
        <v>163</v>
      </c>
      <c r="AD156" t="s">
        <v>837</v>
      </c>
      <c r="AE156">
        <v>811</v>
      </c>
      <c r="AF156" t="s">
        <v>838</v>
      </c>
      <c r="AI156">
        <v>8110000</v>
      </c>
      <c r="AJ156" t="s">
        <v>837</v>
      </c>
      <c r="AM156">
        <v>113110</v>
      </c>
      <c r="AN156" t="s">
        <v>839</v>
      </c>
      <c r="AQ156" t="s">
        <v>75</v>
      </c>
      <c r="AR156" t="s">
        <v>834</v>
      </c>
      <c r="AS156" t="s">
        <v>835</v>
      </c>
      <c r="AT156" t="s">
        <v>427</v>
      </c>
      <c r="AU156" t="s">
        <v>80</v>
      </c>
      <c r="AV156" t="s">
        <v>62</v>
      </c>
      <c r="AW156" t="s">
        <v>834</v>
      </c>
      <c r="AX156" t="s">
        <v>835</v>
      </c>
      <c r="AY156" t="s">
        <v>80</v>
      </c>
      <c r="AZ156" t="s">
        <v>62</v>
      </c>
      <c r="BE156" t="s">
        <v>62</v>
      </c>
      <c r="BF156">
        <v>1</v>
      </c>
      <c r="BG156">
        <v>2</v>
      </c>
      <c r="BH156" s="4" t="s">
        <v>834</v>
      </c>
      <c r="BI156" s="4" t="s">
        <v>835</v>
      </c>
      <c r="BK156" s="4" t="s">
        <v>836</v>
      </c>
      <c r="BL156" s="4" t="s">
        <v>88</v>
      </c>
      <c r="BM156" s="4" t="s">
        <v>94</v>
      </c>
      <c r="BN156" s="4">
        <v>76102</v>
      </c>
      <c r="BO156" s="4" t="s">
        <v>62</v>
      </c>
      <c r="BP156" s="4">
        <v>8173347800</v>
      </c>
      <c r="BQ156" s="5">
        <v>6132562</v>
      </c>
      <c r="BR156" s="4">
        <v>17</v>
      </c>
      <c r="BS156" s="4">
        <v>60</v>
      </c>
      <c r="BT156" s="4">
        <v>2012</v>
      </c>
      <c r="BU156" s="4" t="s">
        <v>163</v>
      </c>
      <c r="BX156" s="4" t="s">
        <v>837</v>
      </c>
      <c r="BY156" s="4">
        <v>811</v>
      </c>
      <c r="BZ156" s="4" t="s">
        <v>838</v>
      </c>
      <c r="CC156" s="4">
        <v>8110000</v>
      </c>
      <c r="CD156" s="4" t="s">
        <v>837</v>
      </c>
      <c r="CG156" s="4">
        <v>113110</v>
      </c>
      <c r="CH156" s="4" t="s">
        <v>839</v>
      </c>
      <c r="CK156" s="19">
        <f>IF(BQ156&gt;0,BQ156,W156)</f>
        <v>6132562</v>
      </c>
      <c r="CL156" s="20">
        <f>IF(BS156&gt;0,BS156,Y156)</f>
        <v>60</v>
      </c>
      <c r="CM156" s="34">
        <f>IF(CG156&gt;0,CG156,AM156)</f>
        <v>113110</v>
      </c>
      <c r="CN156" s="80">
        <f>IF($BH156="",1,COUNTIF($BH$3:$BH156,$BH156))</f>
        <v>1</v>
      </c>
      <c r="CP156" t="str">
        <f>IF($K156="Standard Match","Match",IF($K156="Name Only Match",IF($CO156="Yes","Match","Name Only Match"),"No Match"))</f>
        <v>Match</v>
      </c>
      <c r="CQ156" s="35" t="str">
        <f>IF(AND(CP156="Match",CK156&gt;0,CL156&gt;0),"Y","N")</f>
        <v>Y</v>
      </c>
      <c r="CS156" t="str">
        <f>IF($CQ156="Y",VLOOKUP($CM156,'SBA Size Standards'!$B$3:$G$57,MATCH('SBA Size Standards'!$G$3,'SBA Size Standards'!$B$3:$G$3,0),FALSE),"")</f>
        <v>Revenue</v>
      </c>
      <c r="CT156" s="60">
        <f>IF(CQ156="Y",IF($CS156="Employment","N/A",VLOOKUP($CM156,'SBA Size Standards'!$B$3:$G$57,MATCH('SBA Size Standards'!$E$3,'SBA Size Standards'!$B$3:$G$3,0),FALSE)),"")</f>
        <v>12000000</v>
      </c>
      <c r="CU156" s="86" t="str">
        <f>IF($CQ156="Y",IF($CS156="Revenue","N/A",VLOOKUP($CM156,'SBA Size Standards'!$B$3:$G$57,MATCH('SBA Size Standards'!$F$3,'SBA Size Standards'!$B$3:$G$3,0),FALSE)),"")</f>
        <v>N/A</v>
      </c>
      <c r="CV156" t="str">
        <f>IF($CQ156="Y",IF(OR(AND($CS156="Employment",$CL156&lt;$CU156),AND($CS156="Revenue",$CK156&lt;$CT156)),"YES","NO"),"")</f>
        <v>YES</v>
      </c>
      <c r="CW156" s="90" t="str">
        <f>IF($CQ156="Y",INDEX('SBA Size Standards'!$N$3:$N$12,MATCH($CK156,'SBA Size Standards'!$O$3:$O$12,1)),"")</f>
        <v>$5,000,001 - $100,000,000</v>
      </c>
      <c r="CX156" s="122" t="s">
        <v>4581</v>
      </c>
      <c r="CY156" s="122">
        <f>INDEX('NM O&amp;G Production'!$P$3:$P$537,MATCH(CX156,'NM O&amp;G Production'!$Q$3:$Q$537,0))</f>
        <v>106</v>
      </c>
      <c r="CZ156" s="122" t="str">
        <f>INDEX('NM O&amp;G Production'!$O$3:$O$537,MATCH(CY156,'NM O&amp;G Production'!$P$3:$P$537,0))</f>
        <v>Yes</v>
      </c>
      <c r="DA156" s="127">
        <f>INDEX('NM O&amp;G Production'!$K$3:$O$537,MATCH($CY156,'NM O&amp;G Production'!$P$3:$P$537,0),MATCH(DA$2,'NM O&amp;G Production'!$K$2:$O$2,0))</f>
        <v>155</v>
      </c>
      <c r="DB156" s="127">
        <f>INDEX('NM O&amp;G Production'!$K$3:$O$537,MATCH($CY156,'NM O&amp;G Production'!$P$3:$P$537,0),MATCH(DB$2,'NM O&amp;G Production'!$K$2:$O$2,0))</f>
        <v>289</v>
      </c>
      <c r="DC156" s="127">
        <f>DA156+DB156</f>
        <v>444</v>
      </c>
      <c r="DD156" s="127">
        <f>INDEX('NM O&amp;G Production'!$K$3:$O$537,MATCH($CY156,'NM O&amp;G Production'!$P$3:$P$537,0),MATCH(DD$2,'NM O&amp;G Production'!$K$2:$O$2,0))</f>
        <v>8482729</v>
      </c>
      <c r="DE156" s="127">
        <f>INDEX('NM O&amp;G Production'!$K$3:$O$537,MATCH($CY156,'NM O&amp;G Production'!$P$3:$P$537,0),MATCH(DE$2,'NM O&amp;G Production'!$K$2:$O$2,0))</f>
        <v>702657</v>
      </c>
      <c r="DF156" s="258">
        <f>CK156/(DB156+DA156)</f>
        <v>13812.076576576577</v>
      </c>
      <c r="DG156" s="57">
        <f>DD156*(12/18)*1.06*'Oil and Gas Prices'!$C$18</f>
        <v>14326763.765733333</v>
      </c>
      <c r="DH156" s="284">
        <f>DE156*(12/18)*'Oil and Gas Prices'!$C$4</f>
        <v>21079710</v>
      </c>
      <c r="DI156" s="284">
        <f>DG156+DH156</f>
        <v>35406473.765733331</v>
      </c>
      <c r="DJ156" s="57">
        <f>(DG156+DH156)/(DA156+DB156)</f>
        <v>79744.310283183178</v>
      </c>
      <c r="DK156" s="318"/>
    </row>
    <row r="157" spans="1:115" x14ac:dyDescent="0.25">
      <c r="A157" t="s">
        <v>3193</v>
      </c>
      <c r="B157" t="s">
        <v>3194</v>
      </c>
      <c r="D157" t="s">
        <v>153</v>
      </c>
      <c r="E157" t="s">
        <v>80</v>
      </c>
      <c r="F157" t="s">
        <v>3195</v>
      </c>
      <c r="G157" t="s">
        <v>62</v>
      </c>
      <c r="I157">
        <v>469</v>
      </c>
      <c r="J157" t="s">
        <v>63</v>
      </c>
      <c r="K157" t="s">
        <v>4133</v>
      </c>
      <c r="L157" t="s">
        <v>1810</v>
      </c>
      <c r="M157">
        <v>9</v>
      </c>
      <c r="N157" t="s">
        <v>3196</v>
      </c>
      <c r="O157" t="s">
        <v>3197</v>
      </c>
      <c r="Q157" t="s">
        <v>3198</v>
      </c>
      <c r="R157" t="s">
        <v>153</v>
      </c>
      <c r="S157" t="s">
        <v>94</v>
      </c>
      <c r="T157">
        <v>79701</v>
      </c>
      <c r="U157" t="s">
        <v>62</v>
      </c>
      <c r="V157">
        <v>4326835474</v>
      </c>
      <c r="X157">
        <v>7</v>
      </c>
      <c r="Y157">
        <v>0</v>
      </c>
      <c r="AA157" t="s">
        <v>96</v>
      </c>
      <c r="AB157" t="s">
        <v>3199</v>
      </c>
      <c r="AC157" t="s">
        <v>677</v>
      </c>
      <c r="AD157" t="s">
        <v>99</v>
      </c>
      <c r="AE157">
        <v>1311</v>
      </c>
      <c r="AF157" t="s">
        <v>100</v>
      </c>
      <c r="AI157">
        <v>13110101</v>
      </c>
      <c r="AJ157" t="s">
        <v>102</v>
      </c>
      <c r="AM157">
        <v>211120</v>
      </c>
      <c r="AN157" t="s">
        <v>104</v>
      </c>
      <c r="AQ157" t="s">
        <v>75</v>
      </c>
      <c r="AR157" t="s">
        <v>3200</v>
      </c>
      <c r="AS157" t="s">
        <v>3197</v>
      </c>
      <c r="AT157" t="s">
        <v>76</v>
      </c>
      <c r="AU157" t="s">
        <v>3201</v>
      </c>
      <c r="AV157" t="s">
        <v>62</v>
      </c>
      <c r="AW157" t="s">
        <v>3200</v>
      </c>
      <c r="AX157" t="s">
        <v>3197</v>
      </c>
      <c r="AY157" t="s">
        <v>3201</v>
      </c>
      <c r="AZ157" t="s">
        <v>62</v>
      </c>
      <c r="BB157" t="s">
        <v>3200</v>
      </c>
      <c r="BC157" t="s">
        <v>3197</v>
      </c>
      <c r="BD157" t="s">
        <v>3201</v>
      </c>
      <c r="BE157" t="s">
        <v>62</v>
      </c>
      <c r="BF157">
        <v>1</v>
      </c>
      <c r="BG157">
        <v>4</v>
      </c>
      <c r="BH157" s="4" t="s">
        <v>3200</v>
      </c>
      <c r="BI157" s="4" t="s">
        <v>3197</v>
      </c>
      <c r="BK157" s="4" t="s">
        <v>4248</v>
      </c>
      <c r="BL157" s="4" t="s">
        <v>4249</v>
      </c>
      <c r="BM157" s="4" t="s">
        <v>4250</v>
      </c>
      <c r="BN157" s="4" t="s">
        <v>4251</v>
      </c>
      <c r="BO157" s="4" t="s">
        <v>62</v>
      </c>
      <c r="BP157" s="4">
        <v>4142764885</v>
      </c>
      <c r="BQ157" s="5">
        <v>5897690</v>
      </c>
      <c r="BR157" s="4">
        <v>10</v>
      </c>
      <c r="BS157" s="4">
        <v>25</v>
      </c>
      <c r="BT157" s="4">
        <v>1956</v>
      </c>
      <c r="BU157" s="4" t="s">
        <v>163</v>
      </c>
      <c r="BV157" s="4" t="s">
        <v>4252</v>
      </c>
      <c r="BW157" s="4" t="s">
        <v>133</v>
      </c>
      <c r="BX157" s="4" t="s">
        <v>119</v>
      </c>
      <c r="BY157" s="4">
        <v>1382</v>
      </c>
      <c r="BZ157" s="4" t="s">
        <v>120</v>
      </c>
      <c r="CC157" s="4">
        <v>13820000</v>
      </c>
      <c r="CD157" s="4" t="s">
        <v>119</v>
      </c>
      <c r="CG157" s="4">
        <v>213112</v>
      </c>
      <c r="CH157" s="4" t="s">
        <v>74</v>
      </c>
      <c r="CK157" s="19">
        <f>IF(BQ157&gt;0,BQ157,W157)</f>
        <v>5897690</v>
      </c>
      <c r="CL157" s="20">
        <f>IF(BS157&gt;0,BS157,Y157)</f>
        <v>25</v>
      </c>
      <c r="CM157" s="34">
        <f>IF(CG157&gt;0,CG157,AM157)</f>
        <v>213112</v>
      </c>
      <c r="CN157" s="80">
        <f>IF($BH157="",1,COUNTIF($BH$3:$BH157,$BH157))</f>
        <v>1</v>
      </c>
      <c r="CP157" t="str">
        <f>IF($K157="Standard Match","Match",IF($K157="Name Only Match",IF($CO157="Yes","Match","Name Only Match"),"No Match"))</f>
        <v>Match</v>
      </c>
      <c r="CQ157" s="35" t="str">
        <f>IF(AND(CP157="Match",CK157&gt;0,CL157&gt;0),"Y","N")</f>
        <v>Y</v>
      </c>
      <c r="CS157" t="str">
        <f>IF($CQ157="Y",VLOOKUP($CM157,'SBA Size Standards'!$B$3:$G$57,MATCH('SBA Size Standards'!$G$3,'SBA Size Standards'!$B$3:$G$3,0),FALSE),"")</f>
        <v>Revenue</v>
      </c>
      <c r="CT157" s="60">
        <f>IF(CQ157="Y",IF($CS157="Employment","N/A",VLOOKUP($CM157,'SBA Size Standards'!$B$3:$G$57,MATCH('SBA Size Standards'!$E$3,'SBA Size Standards'!$B$3:$G$3,0),FALSE)),"")</f>
        <v>41500000</v>
      </c>
      <c r="CU157" s="86" t="str">
        <f>IF($CQ157="Y",IF($CS157="Revenue","N/A",VLOOKUP($CM157,'SBA Size Standards'!$B$3:$G$57,MATCH('SBA Size Standards'!$F$3,'SBA Size Standards'!$B$3:$G$3,0),FALSE)),"")</f>
        <v>N/A</v>
      </c>
      <c r="CV157" t="str">
        <f>IF($CQ157="Y",IF(OR(AND($CS157="Employment",$CL157&lt;$CU157),AND($CS157="Revenue",$CK157&lt;$CT157)),"YES","NO"),"")</f>
        <v>YES</v>
      </c>
      <c r="CW157" s="90" t="str">
        <f>IF($CQ157="Y",INDEX('SBA Size Standards'!$N$3:$N$12,MATCH($CK157,'SBA Size Standards'!$O$3:$O$12,1)),"")</f>
        <v>$5,000,001 - $100,000,000</v>
      </c>
      <c r="CX157" s="122" t="s">
        <v>4795</v>
      </c>
      <c r="CY157" s="122">
        <f>INDEX('NM O&amp;G Production'!$P$3:$P$537,MATCH(CX157,'NM O&amp;G Production'!$Q$3:$Q$537,0))</f>
        <v>469</v>
      </c>
      <c r="CZ157" s="122" t="str">
        <f>INDEX('NM O&amp;G Production'!$O$3:$O$537,MATCH(CY157,'NM O&amp;G Production'!$P$3:$P$537,0))</f>
        <v>Yes</v>
      </c>
      <c r="DA157" s="127">
        <f>INDEX('NM O&amp;G Production'!$K$3:$O$537,MATCH($CY157,'NM O&amp;G Production'!$P$3:$P$537,0),MATCH(DA$2,'NM O&amp;G Production'!$K$2:$O$2,0))</f>
        <v>0</v>
      </c>
      <c r="DB157" s="127">
        <f>INDEX('NM O&amp;G Production'!$K$3:$O$537,MATCH($CY157,'NM O&amp;G Production'!$P$3:$P$537,0),MATCH(DB$2,'NM O&amp;G Production'!$K$2:$O$2,0))</f>
        <v>10</v>
      </c>
      <c r="DC157" s="127">
        <f>DA157+DB157</f>
        <v>10</v>
      </c>
      <c r="DD157" s="127">
        <f>INDEX('NM O&amp;G Production'!$K$3:$O$537,MATCH($CY157,'NM O&amp;G Production'!$P$3:$P$537,0),MATCH(DD$2,'NM O&amp;G Production'!$K$2:$O$2,0))</f>
        <v>41524</v>
      </c>
      <c r="DE157" s="127">
        <f>INDEX('NM O&amp;G Production'!$K$3:$O$537,MATCH($CY157,'NM O&amp;G Production'!$P$3:$P$537,0),MATCH(DE$2,'NM O&amp;G Production'!$K$2:$O$2,0))</f>
        <v>9547</v>
      </c>
      <c r="DF157" s="258">
        <f>CK157/(DB157+DA157)</f>
        <v>589769</v>
      </c>
      <c r="DG157" s="57">
        <f>DD157*(12/18)*1.06*'Oil and Gas Prices'!$C$18</f>
        <v>70131.267733333341</v>
      </c>
      <c r="DH157" s="284">
        <f>DE157*(12/18)*'Oil and Gas Prices'!$C$4</f>
        <v>286410</v>
      </c>
      <c r="DI157" s="284">
        <f>DG157+DH157</f>
        <v>356541.26773333334</v>
      </c>
      <c r="DJ157" s="57">
        <f>(DG157+DH157)/(DA157+DB157)</f>
        <v>35654.126773333337</v>
      </c>
      <c r="DK157" s="319"/>
    </row>
    <row r="158" spans="1:115" x14ac:dyDescent="0.25">
      <c r="A158" t="s">
        <v>309</v>
      </c>
      <c r="B158" t="s">
        <v>310</v>
      </c>
      <c r="D158" t="s">
        <v>123</v>
      </c>
      <c r="E158" t="s">
        <v>84</v>
      </c>
      <c r="F158" t="s">
        <v>311</v>
      </c>
      <c r="G158" t="s">
        <v>62</v>
      </c>
      <c r="I158">
        <v>31</v>
      </c>
      <c r="J158" t="s">
        <v>63</v>
      </c>
      <c r="K158" t="s">
        <v>4133</v>
      </c>
      <c r="L158" t="s">
        <v>64</v>
      </c>
      <c r="M158">
        <v>10</v>
      </c>
      <c r="N158" t="s">
        <v>312</v>
      </c>
      <c r="O158" t="s">
        <v>313</v>
      </c>
      <c r="P158" t="s">
        <v>314</v>
      </c>
      <c r="Q158" t="s">
        <v>310</v>
      </c>
      <c r="R158" t="s">
        <v>123</v>
      </c>
      <c r="S158" t="s">
        <v>214</v>
      </c>
      <c r="T158" t="s">
        <v>311</v>
      </c>
      <c r="U158" t="s">
        <v>62</v>
      </c>
      <c r="V158">
        <v>5053258874</v>
      </c>
      <c r="W158" s="1">
        <v>5879028</v>
      </c>
      <c r="X158">
        <v>18</v>
      </c>
      <c r="Y158">
        <v>18</v>
      </c>
      <c r="Z158">
        <v>1952</v>
      </c>
      <c r="AA158" t="s">
        <v>70</v>
      </c>
      <c r="AB158" t="s">
        <v>315</v>
      </c>
      <c r="AC158" t="s">
        <v>98</v>
      </c>
      <c r="AD158" t="s">
        <v>99</v>
      </c>
      <c r="AE158">
        <v>1311</v>
      </c>
      <c r="AF158" t="s">
        <v>100</v>
      </c>
      <c r="AI158">
        <v>13110101</v>
      </c>
      <c r="AJ158" t="s">
        <v>102</v>
      </c>
      <c r="AM158">
        <v>211120</v>
      </c>
      <c r="AN158" t="s">
        <v>104</v>
      </c>
      <c r="AQ158" t="s">
        <v>75</v>
      </c>
      <c r="AT158" t="s">
        <v>76</v>
      </c>
      <c r="BF158">
        <v>0</v>
      </c>
      <c r="BG158">
        <v>0</v>
      </c>
      <c r="CK158" s="19">
        <f>IF(BQ158&gt;0,BQ158,W158)</f>
        <v>5879028</v>
      </c>
      <c r="CL158" s="20">
        <f>IF(BS158&gt;0,BS158,Y158)</f>
        <v>18</v>
      </c>
      <c r="CM158" s="34">
        <f>IF(CG158&gt;0,CG158,AM158)</f>
        <v>211120</v>
      </c>
      <c r="CN158" s="80">
        <f>IF($BH158="",1,COUNTIF($BH$3:$BH158,$BH158))</f>
        <v>1</v>
      </c>
      <c r="CP158" t="str">
        <f>IF($K158="Standard Match","Match",IF($K158="Name Only Match",IF($CO158="Yes","Match","Name Only Match"),"No Match"))</f>
        <v>Match</v>
      </c>
      <c r="CQ158" s="35" t="str">
        <f>IF(AND(CP158="Match",CK158&gt;0,CL158&gt;0),"Y","N")</f>
        <v>Y</v>
      </c>
      <c r="CS158" t="str">
        <f>IF($CQ158="Y",VLOOKUP($CM158,'SBA Size Standards'!$B$3:$G$57,MATCH('SBA Size Standards'!$G$3,'SBA Size Standards'!$B$3:$G$3,0),FALSE),"")</f>
        <v>Employment</v>
      </c>
      <c r="CT158" s="60" t="str">
        <f>IF(CQ158="Y",IF($CS158="Employment","N/A",VLOOKUP($CM158,'SBA Size Standards'!$B$3:$G$57,MATCH('SBA Size Standards'!$E$3,'SBA Size Standards'!$B$3:$G$3,0),FALSE)),"")</f>
        <v>N/A</v>
      </c>
      <c r="CU158" s="86">
        <f>IF($CQ158="Y",IF($CS158="Revenue","N/A",VLOOKUP($CM158,'SBA Size Standards'!$B$3:$G$57,MATCH('SBA Size Standards'!$F$3,'SBA Size Standards'!$B$3:$G$3,0),FALSE)),"")</f>
        <v>1250</v>
      </c>
      <c r="CV158" t="str">
        <f>IF($CQ158="Y",IF(OR(AND($CS158="Employment",$CL158&lt;$CU158),AND($CS158="Revenue",$CK158&lt;$CT158)),"YES","NO"),"")</f>
        <v>YES</v>
      </c>
      <c r="CW158" s="90" t="str">
        <f>IF($CQ158="Y",INDEX('SBA Size Standards'!$N$3:$N$12,MATCH($CK158,'SBA Size Standards'!$O$3:$O$12,1)),"")</f>
        <v>$5,000,001 - $100,000,000</v>
      </c>
      <c r="CX158" s="122" t="s">
        <v>4547</v>
      </c>
      <c r="CY158" s="122">
        <f>INDEX('NM O&amp;G Production'!$P$3:$P$537,MATCH(CX158,'NM O&amp;G Production'!$Q$3:$Q$537,0))</f>
        <v>31</v>
      </c>
      <c r="CZ158" s="122" t="str">
        <f>INDEX('NM O&amp;G Production'!$O$3:$O$537,MATCH(CY158,'NM O&amp;G Production'!$P$3:$P$537,0))</f>
        <v>Yes</v>
      </c>
      <c r="DA158" s="127">
        <f>INDEX('NM O&amp;G Production'!$K$3:$O$537,MATCH($CY158,'NM O&amp;G Production'!$P$3:$P$537,0),MATCH(DA$2,'NM O&amp;G Production'!$K$2:$O$2,0))</f>
        <v>17</v>
      </c>
      <c r="DB158" s="127">
        <f>INDEX('NM O&amp;G Production'!$K$3:$O$537,MATCH($CY158,'NM O&amp;G Production'!$P$3:$P$537,0),MATCH(DB$2,'NM O&amp;G Production'!$K$2:$O$2,0))</f>
        <v>64</v>
      </c>
      <c r="DC158" s="127">
        <f>DA158+DB158</f>
        <v>81</v>
      </c>
      <c r="DD158" s="127">
        <f>INDEX('NM O&amp;G Production'!$K$3:$O$537,MATCH($CY158,'NM O&amp;G Production'!$P$3:$P$537,0),MATCH(DD$2,'NM O&amp;G Production'!$K$2:$O$2,0))</f>
        <v>1042229</v>
      </c>
      <c r="DE158" s="127">
        <f>INDEX('NM O&amp;G Production'!$K$3:$O$537,MATCH($CY158,'NM O&amp;G Production'!$P$3:$P$537,0),MATCH(DE$2,'NM O&amp;G Production'!$K$2:$O$2,0))</f>
        <v>138578</v>
      </c>
      <c r="DF158" s="258">
        <f>CK158/(DB158+DA158)</f>
        <v>72580.592592592599</v>
      </c>
      <c r="DG158" s="57">
        <f>DD158*(12/18)*1.06*'Oil and Gas Prices'!$C$18</f>
        <v>1760255.2990666667</v>
      </c>
      <c r="DH158" s="284">
        <f>DE158*(12/18)*'Oil and Gas Prices'!$C$4</f>
        <v>4157340</v>
      </c>
      <c r="DI158" s="284">
        <f>DG158+DH158</f>
        <v>5917595.2990666665</v>
      </c>
      <c r="DJ158" s="57">
        <f>(DG158+DH158)/(DA158+DB158)</f>
        <v>73056.732087242795</v>
      </c>
      <c r="DK158" s="319"/>
    </row>
    <row r="159" spans="1:115" x14ac:dyDescent="0.25">
      <c r="A159" t="s">
        <v>207</v>
      </c>
      <c r="B159" t="s">
        <v>208</v>
      </c>
      <c r="D159" t="s">
        <v>209</v>
      </c>
      <c r="E159" t="s">
        <v>84</v>
      </c>
      <c r="F159">
        <v>88202</v>
      </c>
      <c r="G159" t="s">
        <v>62</v>
      </c>
      <c r="I159">
        <v>19</v>
      </c>
      <c r="J159" t="s">
        <v>63</v>
      </c>
      <c r="K159" t="s">
        <v>4133</v>
      </c>
      <c r="L159" t="s">
        <v>149</v>
      </c>
      <c r="M159">
        <v>10</v>
      </c>
      <c r="N159" t="s">
        <v>210</v>
      </c>
      <c r="O159" t="s">
        <v>211</v>
      </c>
      <c r="P159" t="s">
        <v>212</v>
      </c>
      <c r="Q159" t="s">
        <v>213</v>
      </c>
      <c r="R159" t="s">
        <v>209</v>
      </c>
      <c r="S159" t="s">
        <v>214</v>
      </c>
      <c r="T159" t="s">
        <v>215</v>
      </c>
      <c r="U159" t="s">
        <v>62</v>
      </c>
      <c r="V159">
        <v>5756252222</v>
      </c>
      <c r="W159" s="1">
        <v>5847509</v>
      </c>
      <c r="X159">
        <v>21</v>
      </c>
      <c r="Y159">
        <v>21</v>
      </c>
      <c r="Z159">
        <v>1976</v>
      </c>
      <c r="AA159" t="s">
        <v>70</v>
      </c>
      <c r="AB159" t="s">
        <v>216</v>
      </c>
      <c r="AC159" t="s">
        <v>98</v>
      </c>
      <c r="AD159" t="s">
        <v>119</v>
      </c>
      <c r="AE159">
        <v>1382</v>
      </c>
      <c r="AF159" t="s">
        <v>120</v>
      </c>
      <c r="AI159">
        <v>13820000</v>
      </c>
      <c r="AJ159" t="s">
        <v>119</v>
      </c>
      <c r="AM159">
        <v>213112</v>
      </c>
      <c r="AN159" t="s">
        <v>74</v>
      </c>
      <c r="AQ159" t="s">
        <v>75</v>
      </c>
      <c r="AT159" t="s">
        <v>76</v>
      </c>
      <c r="BF159">
        <v>0</v>
      </c>
      <c r="BG159">
        <v>0</v>
      </c>
      <c r="CK159" s="19">
        <f>IF(BQ159&gt;0,BQ159,W159)</f>
        <v>5847509</v>
      </c>
      <c r="CL159" s="20">
        <f>IF(BS159&gt;0,BS159,Y159)</f>
        <v>21</v>
      </c>
      <c r="CM159" s="34">
        <f>IF(CG159&gt;0,CG159,AM159)</f>
        <v>213112</v>
      </c>
      <c r="CN159" s="80">
        <f>IF($BH159="",1,COUNTIF($BH$3:$BH159,$BH159))</f>
        <v>1</v>
      </c>
      <c r="CP159" t="str">
        <f>IF($K159="Standard Match","Match",IF($K159="Name Only Match",IF($CO159="Yes","Match","Name Only Match"),"No Match"))</f>
        <v>Match</v>
      </c>
      <c r="CQ159" s="35" t="str">
        <f>IF(AND(CP159="Match",CK159&gt;0,CL159&gt;0),"Y","N")</f>
        <v>Y</v>
      </c>
      <c r="CS159" t="str">
        <f>IF($CQ159="Y",VLOOKUP($CM159,'SBA Size Standards'!$B$3:$G$57,MATCH('SBA Size Standards'!$G$3,'SBA Size Standards'!$B$3:$G$3,0),FALSE),"")</f>
        <v>Revenue</v>
      </c>
      <c r="CT159" s="60">
        <f>IF(CQ159="Y",IF($CS159="Employment","N/A",VLOOKUP($CM159,'SBA Size Standards'!$B$3:$G$57,MATCH('SBA Size Standards'!$E$3,'SBA Size Standards'!$B$3:$G$3,0),FALSE)),"")</f>
        <v>41500000</v>
      </c>
      <c r="CU159" s="86" t="str">
        <f>IF($CQ159="Y",IF($CS159="Revenue","N/A",VLOOKUP($CM159,'SBA Size Standards'!$B$3:$G$57,MATCH('SBA Size Standards'!$F$3,'SBA Size Standards'!$B$3:$G$3,0),FALSE)),"")</f>
        <v>N/A</v>
      </c>
      <c r="CV159" t="str">
        <f>IF($CQ159="Y",IF(OR(AND($CS159="Employment",$CL159&lt;$CU159),AND($CS159="Revenue",$CK159&lt;$CT159)),"YES","NO"),"")</f>
        <v>YES</v>
      </c>
      <c r="CW159" s="90" t="str">
        <f>IF($CQ159="Y",INDEX('SBA Size Standards'!$N$3:$N$12,MATCH($CK159,'SBA Size Standards'!$O$3:$O$12,1)),"")</f>
        <v>$5,000,001 - $100,000,000</v>
      </c>
      <c r="CX159" s="122" t="s">
        <v>4541</v>
      </c>
      <c r="CY159" s="122">
        <f>INDEX('NM O&amp;G Production'!$P$3:$P$537,MATCH(CX159,'NM O&amp;G Production'!$Q$3:$Q$537,0))</f>
        <v>19</v>
      </c>
      <c r="CZ159" s="122" t="str">
        <f>INDEX('NM O&amp;G Production'!$O$3:$O$537,MATCH(CY159,'NM O&amp;G Production'!$P$3:$P$537,0))</f>
        <v>Yes</v>
      </c>
      <c r="DA159" s="127">
        <f>INDEX('NM O&amp;G Production'!$K$3:$O$537,MATCH($CY159,'NM O&amp;G Production'!$P$3:$P$537,0),MATCH(DA$2,'NM O&amp;G Production'!$K$2:$O$2,0))</f>
        <v>28</v>
      </c>
      <c r="DB159" s="127">
        <f>INDEX('NM O&amp;G Production'!$K$3:$O$537,MATCH($CY159,'NM O&amp;G Production'!$P$3:$P$537,0),MATCH(DB$2,'NM O&amp;G Production'!$K$2:$O$2,0))</f>
        <v>72</v>
      </c>
      <c r="DC159" s="127">
        <f>DA159+DB159</f>
        <v>100</v>
      </c>
      <c r="DD159" s="127">
        <f>INDEX('NM O&amp;G Production'!$K$3:$O$537,MATCH($CY159,'NM O&amp;G Production'!$P$3:$P$537,0),MATCH(DD$2,'NM O&amp;G Production'!$K$2:$O$2,0))</f>
        <v>1882553</v>
      </c>
      <c r="DE159" s="127">
        <f>INDEX('NM O&amp;G Production'!$K$3:$O$537,MATCH($CY159,'NM O&amp;G Production'!$P$3:$P$537,0),MATCH(DE$2,'NM O&amp;G Production'!$K$2:$O$2,0))</f>
        <v>562549</v>
      </c>
      <c r="DF159" s="258">
        <f>CK159/(DB159+DA159)</f>
        <v>58475.09</v>
      </c>
      <c r="DG159" s="57">
        <f>DD159*(12/18)*1.06*'Oil and Gas Prices'!$C$18</f>
        <v>3179506.5134666669</v>
      </c>
      <c r="DH159" s="284">
        <f>DE159*(12/18)*'Oil and Gas Prices'!$C$4</f>
        <v>16876470</v>
      </c>
      <c r="DI159" s="284">
        <f>DG159+DH159</f>
        <v>20055976.513466667</v>
      </c>
      <c r="DJ159" s="57">
        <f>(DG159+DH159)/(DA159+DB159)</f>
        <v>200559.76513466667</v>
      </c>
      <c r="DK159" s="319"/>
    </row>
    <row r="160" spans="1:115" x14ac:dyDescent="0.25">
      <c r="A160" t="s">
        <v>1799</v>
      </c>
      <c r="B160" t="s">
        <v>1800</v>
      </c>
      <c r="D160" t="s">
        <v>1801</v>
      </c>
      <c r="E160" t="s">
        <v>80</v>
      </c>
      <c r="F160">
        <v>76102</v>
      </c>
      <c r="G160" t="s">
        <v>62</v>
      </c>
      <c r="I160">
        <v>248</v>
      </c>
      <c r="J160" t="s">
        <v>392</v>
      </c>
      <c r="K160" t="s">
        <v>4133</v>
      </c>
      <c r="L160" t="s">
        <v>113</v>
      </c>
      <c r="M160">
        <v>8</v>
      </c>
      <c r="N160" t="s">
        <v>1802</v>
      </c>
      <c r="O160" t="s">
        <v>1803</v>
      </c>
      <c r="Q160" t="s">
        <v>1804</v>
      </c>
      <c r="R160" t="s">
        <v>88</v>
      </c>
      <c r="S160" t="s">
        <v>94</v>
      </c>
      <c r="T160" t="s">
        <v>1805</v>
      </c>
      <c r="U160" t="s">
        <v>62</v>
      </c>
      <c r="V160">
        <v>8173352591</v>
      </c>
      <c r="W160" s="1">
        <v>5632916</v>
      </c>
      <c r="X160">
        <v>7</v>
      </c>
      <c r="Y160">
        <v>11</v>
      </c>
      <c r="Z160">
        <v>1974</v>
      </c>
      <c r="AA160" t="s">
        <v>163</v>
      </c>
      <c r="AB160" t="s">
        <v>1806</v>
      </c>
      <c r="AC160" t="s">
        <v>145</v>
      </c>
      <c r="AD160" t="s">
        <v>99</v>
      </c>
      <c r="AE160">
        <v>1311</v>
      </c>
      <c r="AF160" t="s">
        <v>100</v>
      </c>
      <c r="AI160">
        <v>13110101</v>
      </c>
      <c r="AJ160" t="s">
        <v>102</v>
      </c>
      <c r="AM160">
        <v>211120</v>
      </c>
      <c r="AN160" t="s">
        <v>104</v>
      </c>
      <c r="AQ160" t="s">
        <v>75</v>
      </c>
      <c r="AR160" t="s">
        <v>1802</v>
      </c>
      <c r="AS160" t="s">
        <v>1803</v>
      </c>
      <c r="AT160" t="s">
        <v>427</v>
      </c>
      <c r="AU160" t="s">
        <v>80</v>
      </c>
      <c r="AV160" t="s">
        <v>62</v>
      </c>
      <c r="AW160" t="s">
        <v>1802</v>
      </c>
      <c r="AX160" t="s">
        <v>1803</v>
      </c>
      <c r="AY160" t="s">
        <v>80</v>
      </c>
      <c r="AZ160" t="s">
        <v>62</v>
      </c>
      <c r="BE160" t="s">
        <v>62</v>
      </c>
      <c r="BF160">
        <v>1</v>
      </c>
      <c r="BG160">
        <v>2</v>
      </c>
      <c r="BH160" s="4" t="s">
        <v>1802</v>
      </c>
      <c r="BI160" s="4" t="s">
        <v>1803</v>
      </c>
      <c r="BK160" s="4" t="s">
        <v>1804</v>
      </c>
      <c r="BL160" s="4" t="s">
        <v>88</v>
      </c>
      <c r="BM160" s="4" t="s">
        <v>94</v>
      </c>
      <c r="BN160" s="4" t="s">
        <v>1805</v>
      </c>
      <c r="BO160" s="4" t="s">
        <v>62</v>
      </c>
      <c r="BP160" s="4">
        <v>8173352591</v>
      </c>
      <c r="BQ160" s="5">
        <v>5632916</v>
      </c>
      <c r="BR160" s="4">
        <v>7</v>
      </c>
      <c r="BS160" s="4">
        <v>11</v>
      </c>
      <c r="BT160" s="4">
        <v>1974</v>
      </c>
      <c r="BU160" s="4" t="s">
        <v>163</v>
      </c>
      <c r="BV160" s="4" t="s">
        <v>1806</v>
      </c>
      <c r="BW160" s="4" t="s">
        <v>145</v>
      </c>
      <c r="BX160" s="4" t="s">
        <v>99</v>
      </c>
      <c r="BY160" s="4">
        <v>1311</v>
      </c>
      <c r="BZ160" s="4" t="s">
        <v>100</v>
      </c>
      <c r="CC160" s="4">
        <v>13110101</v>
      </c>
      <c r="CD160" s="4" t="s">
        <v>102</v>
      </c>
      <c r="CG160" s="4">
        <v>211120</v>
      </c>
      <c r="CH160" s="4" t="s">
        <v>104</v>
      </c>
      <c r="CK160" s="19">
        <f>IF(BQ160&gt;0,BQ160,W160)</f>
        <v>5632916</v>
      </c>
      <c r="CL160" s="20">
        <f>IF(BS160&gt;0,BS160,Y160)</f>
        <v>11</v>
      </c>
      <c r="CM160" s="34">
        <f>IF(CG160&gt;0,CG160,AM160)</f>
        <v>211120</v>
      </c>
      <c r="CN160" s="80">
        <f>IF($BH160="",1,COUNTIF($BH$3:$BH160,$BH160))</f>
        <v>1</v>
      </c>
      <c r="CP160" t="str">
        <f>IF($K160="Standard Match","Match",IF($K160="Name Only Match",IF($CO160="Yes","Match","Name Only Match"),"No Match"))</f>
        <v>Match</v>
      </c>
      <c r="CQ160" s="35" t="str">
        <f>IF(AND(CP160="Match",CK160&gt;0,CL160&gt;0),"Y","N")</f>
        <v>Y</v>
      </c>
      <c r="CS160" t="str">
        <f>IF($CQ160="Y",VLOOKUP($CM160,'SBA Size Standards'!$B$3:$G$57,MATCH('SBA Size Standards'!$G$3,'SBA Size Standards'!$B$3:$G$3,0),FALSE),"")</f>
        <v>Employment</v>
      </c>
      <c r="CT160" s="60" t="str">
        <f>IF(CQ160="Y",IF($CS160="Employment","N/A",VLOOKUP($CM160,'SBA Size Standards'!$B$3:$G$57,MATCH('SBA Size Standards'!$E$3,'SBA Size Standards'!$B$3:$G$3,0),FALSE)),"")</f>
        <v>N/A</v>
      </c>
      <c r="CU160" s="86">
        <f>IF($CQ160="Y",IF($CS160="Revenue","N/A",VLOOKUP($CM160,'SBA Size Standards'!$B$3:$G$57,MATCH('SBA Size Standards'!$F$3,'SBA Size Standards'!$B$3:$G$3,0),FALSE)),"")</f>
        <v>1250</v>
      </c>
      <c r="CV160" t="str">
        <f>IF($CQ160="Y",IF(OR(AND($CS160="Employment",$CL160&lt;$CU160),AND($CS160="Revenue",$CK160&lt;$CT160)),"YES","NO"),"")</f>
        <v>YES</v>
      </c>
      <c r="CW160" s="90" t="str">
        <f>IF($CQ160="Y",INDEX('SBA Size Standards'!$N$3:$N$12,MATCH($CK160,'SBA Size Standards'!$O$3:$O$12,1)),"")</f>
        <v>$5,000,001 - $100,000,000</v>
      </c>
      <c r="CX160" s="122" t="s">
        <v>4855</v>
      </c>
      <c r="CY160" s="122">
        <f>INDEX('NM O&amp;G Production'!$P$3:$P$537,MATCH(CX160,'NM O&amp;G Production'!$Q$3:$Q$537,0))</f>
        <v>248</v>
      </c>
      <c r="CZ160" s="122" t="str">
        <f>INDEX('NM O&amp;G Production'!$O$3:$O$537,MATCH(CY160,'NM O&amp;G Production'!$P$3:$P$537,0))</f>
        <v>Yes</v>
      </c>
      <c r="DA160" s="127">
        <f>INDEX('NM O&amp;G Production'!$K$3:$O$537,MATCH($CY160,'NM O&amp;G Production'!$P$3:$P$537,0),MATCH(DA$2,'NM O&amp;G Production'!$K$2:$O$2,0))</f>
        <v>6</v>
      </c>
      <c r="DB160" s="127">
        <f>INDEX('NM O&amp;G Production'!$K$3:$O$537,MATCH($CY160,'NM O&amp;G Production'!$P$3:$P$537,0),MATCH(DB$2,'NM O&amp;G Production'!$K$2:$O$2,0))</f>
        <v>17</v>
      </c>
      <c r="DC160" s="127">
        <f>DA160+DB160</f>
        <v>23</v>
      </c>
      <c r="DD160" s="127">
        <f>INDEX('NM O&amp;G Production'!$K$3:$O$537,MATCH($CY160,'NM O&amp;G Production'!$P$3:$P$537,0),MATCH(DD$2,'NM O&amp;G Production'!$K$2:$O$2,0))</f>
        <v>290431</v>
      </c>
      <c r="DE160" s="127">
        <f>INDEX('NM O&amp;G Production'!$K$3:$O$537,MATCH($CY160,'NM O&amp;G Production'!$P$3:$P$537,0),MATCH(DE$2,'NM O&amp;G Production'!$K$2:$O$2,0))</f>
        <v>819</v>
      </c>
      <c r="DF160" s="258">
        <f>CK160/(DB160+DA160)</f>
        <v>244909.39130434784</v>
      </c>
      <c r="DG160" s="57">
        <f>DD160*(12/18)*1.06*'Oil and Gas Prices'!$C$18</f>
        <v>490518.59693333338</v>
      </c>
      <c r="DH160" s="284">
        <f>DE160*(12/18)*'Oil and Gas Prices'!$C$4</f>
        <v>24570</v>
      </c>
      <c r="DI160" s="284">
        <f>DG160+DH160</f>
        <v>515088.59693333338</v>
      </c>
      <c r="DJ160" s="57">
        <f>(DG160+DH160)/(DA160+DB160)</f>
        <v>22395.156388405798</v>
      </c>
      <c r="DK160" s="319"/>
    </row>
    <row r="161" spans="1:115" x14ac:dyDescent="0.25">
      <c r="A161" t="s">
        <v>3074</v>
      </c>
      <c r="B161" t="s">
        <v>3075</v>
      </c>
      <c r="D161" t="s">
        <v>378</v>
      </c>
      <c r="E161" t="s">
        <v>80</v>
      </c>
      <c r="F161">
        <v>75230</v>
      </c>
      <c r="G161" t="s">
        <v>62</v>
      </c>
      <c r="I161">
        <v>449</v>
      </c>
      <c r="J161" t="s">
        <v>63</v>
      </c>
      <c r="K161" t="s">
        <v>4133</v>
      </c>
      <c r="L161" t="s">
        <v>64</v>
      </c>
      <c r="M161">
        <v>10</v>
      </c>
      <c r="N161" t="s">
        <v>3076</v>
      </c>
      <c r="O161" t="s">
        <v>3077</v>
      </c>
      <c r="P161" t="s">
        <v>3078</v>
      </c>
      <c r="Q161" t="s">
        <v>3079</v>
      </c>
      <c r="R161" t="s">
        <v>378</v>
      </c>
      <c r="S161" t="s">
        <v>94</v>
      </c>
      <c r="T161" t="s">
        <v>3080</v>
      </c>
      <c r="U161" t="s">
        <v>62</v>
      </c>
      <c r="V161">
        <v>9726442581</v>
      </c>
      <c r="W161" s="1">
        <v>5587000</v>
      </c>
      <c r="X161">
        <v>31</v>
      </c>
      <c r="Y161">
        <v>54</v>
      </c>
      <c r="Z161">
        <v>1985</v>
      </c>
      <c r="AA161" t="s">
        <v>163</v>
      </c>
      <c r="AB161" t="s">
        <v>3081</v>
      </c>
      <c r="AC161" t="s">
        <v>165</v>
      </c>
      <c r="AD161" t="s">
        <v>99</v>
      </c>
      <c r="AE161">
        <v>1311</v>
      </c>
      <c r="AF161" t="s">
        <v>100</v>
      </c>
      <c r="AG161">
        <v>1382</v>
      </c>
      <c r="AH161" t="s">
        <v>120</v>
      </c>
      <c r="AI161">
        <v>13110000</v>
      </c>
      <c r="AJ161" t="s">
        <v>276</v>
      </c>
      <c r="AK161">
        <v>13820000</v>
      </c>
      <c r="AL161" t="s">
        <v>119</v>
      </c>
      <c r="AM161">
        <v>211120</v>
      </c>
      <c r="AN161" t="s">
        <v>104</v>
      </c>
      <c r="AO161">
        <v>213112</v>
      </c>
      <c r="AP161" t="s">
        <v>74</v>
      </c>
      <c r="AQ161" t="s">
        <v>75</v>
      </c>
      <c r="AR161" t="s">
        <v>3076</v>
      </c>
      <c r="AS161" t="s">
        <v>3077</v>
      </c>
      <c r="AT161" t="s">
        <v>427</v>
      </c>
      <c r="AU161" t="s">
        <v>80</v>
      </c>
      <c r="AV161" t="s">
        <v>62</v>
      </c>
      <c r="AW161" t="s">
        <v>3076</v>
      </c>
      <c r="AX161" t="s">
        <v>3077</v>
      </c>
      <c r="AY161" t="s">
        <v>80</v>
      </c>
      <c r="AZ161" t="s">
        <v>62</v>
      </c>
      <c r="BE161" t="s">
        <v>62</v>
      </c>
      <c r="BF161">
        <v>1</v>
      </c>
      <c r="BG161">
        <v>3</v>
      </c>
      <c r="BH161" s="4" t="s">
        <v>3076</v>
      </c>
      <c r="BI161" s="4" t="s">
        <v>3077</v>
      </c>
      <c r="BJ161" s="4" t="s">
        <v>3078</v>
      </c>
      <c r="BK161" s="4" t="s">
        <v>3079</v>
      </c>
      <c r="BL161" s="4" t="s">
        <v>378</v>
      </c>
      <c r="BM161" s="4" t="s">
        <v>94</v>
      </c>
      <c r="BN161" s="4" t="s">
        <v>3080</v>
      </c>
      <c r="BO161" s="4" t="s">
        <v>62</v>
      </c>
      <c r="BP161" s="4">
        <v>9726442581</v>
      </c>
      <c r="BQ161" s="5">
        <v>5587000</v>
      </c>
      <c r="BR161" s="4">
        <v>31</v>
      </c>
      <c r="BS161" s="4">
        <v>54</v>
      </c>
      <c r="BT161" s="4">
        <v>1985</v>
      </c>
      <c r="BU161" s="4" t="s">
        <v>163</v>
      </c>
      <c r="BV161" s="4" t="s">
        <v>3081</v>
      </c>
      <c r="BW161" s="4" t="s">
        <v>165</v>
      </c>
      <c r="BX161" s="4" t="s">
        <v>99</v>
      </c>
      <c r="BY161" s="4">
        <v>1311</v>
      </c>
      <c r="BZ161" s="4" t="s">
        <v>100</v>
      </c>
      <c r="CA161" s="4">
        <v>1382</v>
      </c>
      <c r="CB161" s="4" t="s">
        <v>120</v>
      </c>
      <c r="CC161" s="4">
        <v>13110000</v>
      </c>
      <c r="CD161" s="4" t="s">
        <v>276</v>
      </c>
      <c r="CE161" s="4">
        <v>13820000</v>
      </c>
      <c r="CF161" s="4" t="s">
        <v>119</v>
      </c>
      <c r="CG161" s="4">
        <v>211120</v>
      </c>
      <c r="CH161" s="4" t="s">
        <v>104</v>
      </c>
      <c r="CI161" s="4">
        <v>213112</v>
      </c>
      <c r="CJ161" s="4" t="s">
        <v>74</v>
      </c>
      <c r="CK161" s="19">
        <f>IF(BQ161&gt;0,BQ161,W161)</f>
        <v>5587000</v>
      </c>
      <c r="CL161" s="20">
        <f>IF(BS161&gt;0,BS161,Y161)</f>
        <v>54</v>
      </c>
      <c r="CM161" s="34">
        <f>IF(CG161&gt;0,CG161,AM161)</f>
        <v>211120</v>
      </c>
      <c r="CN161" s="80">
        <f>IF($BH161="",1,COUNTIF($BH$3:$BH161,$BH161))</f>
        <v>1</v>
      </c>
      <c r="CP161" t="str">
        <f>IF($K161="Standard Match","Match",IF($K161="Name Only Match",IF($CO161="Yes","Match","Name Only Match"),"No Match"))</f>
        <v>Match</v>
      </c>
      <c r="CQ161" s="35" t="str">
        <f>IF(AND(CP161="Match",CK161&gt;0,CL161&gt;0),"Y","N")</f>
        <v>Y</v>
      </c>
      <c r="CS161" t="str">
        <f>IF($CQ161="Y",VLOOKUP($CM161,'SBA Size Standards'!$B$3:$G$57,MATCH('SBA Size Standards'!$G$3,'SBA Size Standards'!$B$3:$G$3,0),FALSE),"")</f>
        <v>Employment</v>
      </c>
      <c r="CT161" s="60" t="str">
        <f>IF(CQ161="Y",IF($CS161="Employment","N/A",VLOOKUP($CM161,'SBA Size Standards'!$B$3:$G$57,MATCH('SBA Size Standards'!$E$3,'SBA Size Standards'!$B$3:$G$3,0),FALSE)),"")</f>
        <v>N/A</v>
      </c>
      <c r="CU161" s="86">
        <f>IF($CQ161="Y",IF($CS161="Revenue","N/A",VLOOKUP($CM161,'SBA Size Standards'!$B$3:$G$57,MATCH('SBA Size Standards'!$F$3,'SBA Size Standards'!$B$3:$G$3,0),FALSE)),"")</f>
        <v>1250</v>
      </c>
      <c r="CV161" t="str">
        <f>IF($CQ161="Y",IF(OR(AND($CS161="Employment",$CL161&lt;$CU161),AND($CS161="Revenue",$CK161&lt;$CT161)),"YES","NO"),"")</f>
        <v>YES</v>
      </c>
      <c r="CW161" s="90" t="str">
        <f>IF($CQ161="Y",INDEX('SBA Size Standards'!$N$3:$N$12,MATCH($CK161,'SBA Size Standards'!$O$3:$O$12,1)),"")</f>
        <v>$5,000,001 - $100,000,000</v>
      </c>
      <c r="CX161" s="122" t="s">
        <v>4754</v>
      </c>
      <c r="CY161" s="122">
        <f>INDEX('NM O&amp;G Production'!$P$3:$P$537,MATCH(CX161,'NM O&amp;G Production'!$Q$3:$Q$537,0))</f>
        <v>449</v>
      </c>
      <c r="CZ161" s="122" t="str">
        <f>INDEX('NM O&amp;G Production'!$O$3:$O$537,MATCH(CY161,'NM O&amp;G Production'!$P$3:$P$537,0))</f>
        <v>Yes</v>
      </c>
      <c r="DA161" s="127">
        <f>INDEX('NM O&amp;G Production'!$K$3:$O$537,MATCH($CY161,'NM O&amp;G Production'!$P$3:$P$537,0),MATCH(DA$2,'NM O&amp;G Production'!$K$2:$O$2,0))</f>
        <v>1</v>
      </c>
      <c r="DB161" s="127">
        <f>INDEX('NM O&amp;G Production'!$K$3:$O$537,MATCH($CY161,'NM O&amp;G Production'!$P$3:$P$537,0),MATCH(DB$2,'NM O&amp;G Production'!$K$2:$O$2,0))</f>
        <v>5</v>
      </c>
      <c r="DC161" s="127">
        <f>DA161+DB161</f>
        <v>6</v>
      </c>
      <c r="DD161" s="127">
        <f>INDEX('NM O&amp;G Production'!$K$3:$O$537,MATCH($CY161,'NM O&amp;G Production'!$P$3:$P$537,0),MATCH(DD$2,'NM O&amp;G Production'!$K$2:$O$2,0))</f>
        <v>13295</v>
      </c>
      <c r="DE161" s="127">
        <f>INDEX('NM O&amp;G Production'!$K$3:$O$537,MATCH($CY161,'NM O&amp;G Production'!$P$3:$P$537,0),MATCH(DE$2,'NM O&amp;G Production'!$K$2:$O$2,0))</f>
        <v>2013</v>
      </c>
      <c r="DF161" s="258">
        <f>CK161/(DB161+DA161)</f>
        <v>931166.66666666663</v>
      </c>
      <c r="DG161" s="57">
        <f>DD161*(12/18)*1.06*'Oil and Gas Prices'!$C$18</f>
        <v>22454.368666666669</v>
      </c>
      <c r="DH161" s="284">
        <f>DE161*(12/18)*'Oil and Gas Prices'!$C$4</f>
        <v>60390</v>
      </c>
      <c r="DI161" s="284">
        <f>DG161+DH161</f>
        <v>82844.368666666676</v>
      </c>
      <c r="DJ161" s="57">
        <f>(DG161+DH161)/(DA161+DB161)</f>
        <v>13807.394777777779</v>
      </c>
      <c r="DK161" s="318"/>
    </row>
    <row r="162" spans="1:115" x14ac:dyDescent="0.25">
      <c r="A162" t="s">
        <v>416</v>
      </c>
      <c r="B162" t="s">
        <v>417</v>
      </c>
      <c r="D162" t="s">
        <v>418</v>
      </c>
      <c r="E162" t="s">
        <v>80</v>
      </c>
      <c r="F162">
        <v>76307</v>
      </c>
      <c r="G162" t="s">
        <v>62</v>
      </c>
      <c r="I162">
        <v>51</v>
      </c>
      <c r="J162" t="s">
        <v>63</v>
      </c>
      <c r="K162" t="s">
        <v>4133</v>
      </c>
      <c r="L162" t="s">
        <v>419</v>
      </c>
      <c r="M162">
        <v>8</v>
      </c>
      <c r="N162" t="s">
        <v>420</v>
      </c>
      <c r="O162" t="s">
        <v>421</v>
      </c>
      <c r="Q162" t="s">
        <v>422</v>
      </c>
      <c r="R162" t="s">
        <v>418</v>
      </c>
      <c r="S162" t="s">
        <v>94</v>
      </c>
      <c r="T162" t="s">
        <v>423</v>
      </c>
      <c r="U162" t="s">
        <v>62</v>
      </c>
      <c r="V162">
        <v>9407234351</v>
      </c>
      <c r="W162" s="1">
        <v>5509619</v>
      </c>
      <c r="X162">
        <v>10</v>
      </c>
      <c r="Y162">
        <v>35</v>
      </c>
      <c r="Z162">
        <v>1910</v>
      </c>
      <c r="AA162" t="s">
        <v>163</v>
      </c>
      <c r="AB162" t="s">
        <v>424</v>
      </c>
      <c r="AC162" t="s">
        <v>425</v>
      </c>
      <c r="AD162" t="s">
        <v>71</v>
      </c>
      <c r="AE162">
        <v>1389</v>
      </c>
      <c r="AF162" t="s">
        <v>72</v>
      </c>
      <c r="AI162">
        <v>13899912</v>
      </c>
      <c r="AJ162" t="s">
        <v>426</v>
      </c>
      <c r="AM162">
        <v>213112</v>
      </c>
      <c r="AN162" t="s">
        <v>74</v>
      </c>
      <c r="AQ162" t="s">
        <v>75</v>
      </c>
      <c r="AR162" t="s">
        <v>420</v>
      </c>
      <c r="AS162" t="s">
        <v>421</v>
      </c>
      <c r="AT162" t="s">
        <v>427</v>
      </c>
      <c r="AU162" t="s">
        <v>80</v>
      </c>
      <c r="AV162" t="s">
        <v>62</v>
      </c>
      <c r="AW162" t="s">
        <v>420</v>
      </c>
      <c r="AX162" t="s">
        <v>421</v>
      </c>
      <c r="AY162" t="s">
        <v>80</v>
      </c>
      <c r="AZ162" t="s">
        <v>62</v>
      </c>
      <c r="BE162" t="s">
        <v>62</v>
      </c>
      <c r="BF162">
        <v>1</v>
      </c>
      <c r="BG162">
        <v>2</v>
      </c>
      <c r="BH162" s="4" t="s">
        <v>420</v>
      </c>
      <c r="BI162" s="4" t="s">
        <v>421</v>
      </c>
      <c r="BK162" s="4" t="s">
        <v>422</v>
      </c>
      <c r="BL162" s="4" t="s">
        <v>418</v>
      </c>
      <c r="BM162" s="4" t="s">
        <v>94</v>
      </c>
      <c r="BN162" s="4" t="s">
        <v>423</v>
      </c>
      <c r="BO162" s="4" t="s">
        <v>62</v>
      </c>
      <c r="BP162" s="4">
        <v>9407234351</v>
      </c>
      <c r="BQ162" s="5">
        <v>5509619</v>
      </c>
      <c r="BR162" s="4">
        <v>10</v>
      </c>
      <c r="BS162" s="4">
        <v>35</v>
      </c>
      <c r="BT162" s="4">
        <v>1910</v>
      </c>
      <c r="BU162" s="4" t="s">
        <v>163</v>
      </c>
      <c r="BV162" s="4" t="s">
        <v>424</v>
      </c>
      <c r="BW162" s="4" t="s">
        <v>425</v>
      </c>
      <c r="BX162" s="4" t="s">
        <v>71</v>
      </c>
      <c r="BY162" s="4">
        <v>1389</v>
      </c>
      <c r="BZ162" s="4" t="s">
        <v>72</v>
      </c>
      <c r="CC162" s="4">
        <v>13899912</v>
      </c>
      <c r="CD162" s="4" t="s">
        <v>426</v>
      </c>
      <c r="CG162" s="4">
        <v>213112</v>
      </c>
      <c r="CH162" s="4" t="s">
        <v>74</v>
      </c>
      <c r="CK162" s="19">
        <f>IF(BQ162&gt;0,BQ162,W162)</f>
        <v>5509619</v>
      </c>
      <c r="CL162" s="20">
        <f>IF(BS162&gt;0,BS162,Y162)</f>
        <v>35</v>
      </c>
      <c r="CM162" s="34">
        <f>IF(CG162&gt;0,CG162,AM162)</f>
        <v>213112</v>
      </c>
      <c r="CN162" s="80">
        <f>IF($BH162="",1,COUNTIF($BH$3:$BH162,$BH162))</f>
        <v>1</v>
      </c>
      <c r="CP162" t="str">
        <f>IF($K162="Standard Match","Match",IF($K162="Name Only Match",IF($CO162="Yes","Match","Name Only Match"),"No Match"))</f>
        <v>Match</v>
      </c>
      <c r="CQ162" s="35" t="str">
        <f>IF(AND(CP162="Match",CK162&gt;0,CL162&gt;0),"Y","N")</f>
        <v>Y</v>
      </c>
      <c r="CS162" t="str">
        <f>IF($CQ162="Y",VLOOKUP($CM162,'SBA Size Standards'!$B$3:$G$57,MATCH('SBA Size Standards'!$G$3,'SBA Size Standards'!$B$3:$G$3,0),FALSE),"")</f>
        <v>Revenue</v>
      </c>
      <c r="CT162" s="60">
        <f>IF(CQ162="Y",IF($CS162="Employment","N/A",VLOOKUP($CM162,'SBA Size Standards'!$B$3:$G$57,MATCH('SBA Size Standards'!$E$3,'SBA Size Standards'!$B$3:$G$3,0),FALSE)),"")</f>
        <v>41500000</v>
      </c>
      <c r="CU162" s="86" t="str">
        <f>IF($CQ162="Y",IF($CS162="Revenue","N/A",VLOOKUP($CM162,'SBA Size Standards'!$B$3:$G$57,MATCH('SBA Size Standards'!$F$3,'SBA Size Standards'!$B$3:$G$3,0),FALSE)),"")</f>
        <v>N/A</v>
      </c>
      <c r="CV162" t="str">
        <f>IF($CQ162="Y",IF(OR(AND($CS162="Employment",$CL162&lt;$CU162),AND($CS162="Revenue",$CK162&lt;$CT162)),"YES","NO"),"")</f>
        <v>YES</v>
      </c>
      <c r="CW162" s="90" t="str">
        <f>IF($CQ162="Y",INDEX('SBA Size Standards'!$N$3:$N$12,MATCH($CK162,'SBA Size Standards'!$O$3:$O$12,1)),"")</f>
        <v>$5,000,001 - $100,000,000</v>
      </c>
      <c r="CX162" s="122" t="s">
        <v>4808</v>
      </c>
      <c r="CY162" s="122">
        <f>INDEX('NM O&amp;G Production'!$P$3:$P$537,MATCH(CX162,'NM O&amp;G Production'!$Q$3:$Q$537,0))</f>
        <v>51</v>
      </c>
      <c r="CZ162" s="122" t="str">
        <f>INDEX('NM O&amp;G Production'!$O$3:$O$537,MATCH(CY162,'NM O&amp;G Production'!$P$3:$P$537,0))</f>
        <v>Yes</v>
      </c>
      <c r="DA162" s="127">
        <f>INDEX('NM O&amp;G Production'!$K$3:$O$537,MATCH($CY162,'NM O&amp;G Production'!$P$3:$P$537,0),MATCH(DA$2,'NM O&amp;G Production'!$K$2:$O$2,0))</f>
        <v>0</v>
      </c>
      <c r="DB162" s="127">
        <f>INDEX('NM O&amp;G Production'!$K$3:$O$537,MATCH($CY162,'NM O&amp;G Production'!$P$3:$P$537,0),MATCH(DB$2,'NM O&amp;G Production'!$K$2:$O$2,0))</f>
        <v>4</v>
      </c>
      <c r="DC162" s="127">
        <f>DA162+DB162</f>
        <v>4</v>
      </c>
      <c r="DD162" s="127">
        <f>INDEX('NM O&amp;G Production'!$K$3:$O$537,MATCH($CY162,'NM O&amp;G Production'!$P$3:$P$537,0),MATCH(DD$2,'NM O&amp;G Production'!$K$2:$O$2,0))</f>
        <v>20917</v>
      </c>
      <c r="DE162" s="127">
        <f>INDEX('NM O&amp;G Production'!$K$3:$O$537,MATCH($CY162,'NM O&amp;G Production'!$P$3:$P$537,0),MATCH(DE$2,'NM O&amp;G Production'!$K$2:$O$2,0))</f>
        <v>4120</v>
      </c>
      <c r="DF162" s="258">
        <f>CK162/(DB162+DA162)</f>
        <v>1377404.75</v>
      </c>
      <c r="DG162" s="57">
        <f>DD162*(12/18)*1.06*'Oil and Gas Prices'!$C$18</f>
        <v>35327.418533333337</v>
      </c>
      <c r="DH162" s="284">
        <f>DE162*(12/18)*'Oil and Gas Prices'!$C$4</f>
        <v>123600</v>
      </c>
      <c r="DI162" s="284">
        <f>DG162+DH162</f>
        <v>158927.41853333334</v>
      </c>
      <c r="DJ162" s="57">
        <f>(DG162+DH162)/(DA162+DB162)</f>
        <v>39731.854633333336</v>
      </c>
      <c r="DK162" s="318"/>
    </row>
    <row r="163" spans="1:115" x14ac:dyDescent="0.25">
      <c r="A163" t="s">
        <v>1284</v>
      </c>
      <c r="B163" t="s">
        <v>1285</v>
      </c>
      <c r="D163" t="s">
        <v>1286</v>
      </c>
      <c r="E163" t="s">
        <v>80</v>
      </c>
      <c r="F163">
        <v>75039</v>
      </c>
      <c r="G163" t="s">
        <v>62</v>
      </c>
      <c r="I163">
        <v>168</v>
      </c>
      <c r="J163" t="s">
        <v>63</v>
      </c>
      <c r="K163" t="s">
        <v>4133</v>
      </c>
      <c r="L163" t="s">
        <v>64</v>
      </c>
      <c r="M163">
        <v>10</v>
      </c>
      <c r="N163" t="s">
        <v>1287</v>
      </c>
      <c r="O163" t="s">
        <v>1288</v>
      </c>
      <c r="Q163" t="s">
        <v>1289</v>
      </c>
      <c r="R163" t="s">
        <v>1286</v>
      </c>
      <c r="S163" t="s">
        <v>94</v>
      </c>
      <c r="T163" t="s">
        <v>1290</v>
      </c>
      <c r="U163" t="s">
        <v>62</v>
      </c>
      <c r="V163">
        <v>4694537346</v>
      </c>
      <c r="W163" s="1">
        <v>5460932</v>
      </c>
      <c r="X163">
        <v>25</v>
      </c>
      <c r="Y163">
        <v>25</v>
      </c>
      <c r="Z163">
        <v>2014</v>
      </c>
      <c r="AA163" t="s">
        <v>70</v>
      </c>
      <c r="AB163" t="s">
        <v>1291</v>
      </c>
      <c r="AC163" t="s">
        <v>145</v>
      </c>
      <c r="AD163" t="s">
        <v>71</v>
      </c>
      <c r="AE163">
        <v>1389</v>
      </c>
      <c r="AF163" t="s">
        <v>72</v>
      </c>
      <c r="AI163">
        <v>13890106</v>
      </c>
      <c r="AJ163" t="s">
        <v>1292</v>
      </c>
      <c r="AM163">
        <v>237120</v>
      </c>
      <c r="AN163" t="s">
        <v>413</v>
      </c>
      <c r="AQ163" t="s">
        <v>75</v>
      </c>
      <c r="AT163" t="s">
        <v>76</v>
      </c>
      <c r="BF163">
        <v>0</v>
      </c>
      <c r="BG163">
        <v>0</v>
      </c>
      <c r="CK163" s="19">
        <f>IF(BQ163&gt;0,BQ163,W163)</f>
        <v>5460932</v>
      </c>
      <c r="CL163" s="20">
        <f>IF(BS163&gt;0,BS163,Y163)</f>
        <v>25</v>
      </c>
      <c r="CM163" s="34">
        <f>IF(CG163&gt;0,CG163,AM163)</f>
        <v>237120</v>
      </c>
      <c r="CN163" s="80">
        <f>IF($BH163="",1,COUNTIF($BH$3:$BH163,$BH163))</f>
        <v>1</v>
      </c>
      <c r="CP163" t="str">
        <f>IF($K163="Standard Match","Match",IF($K163="Name Only Match",IF($CO163="Yes","Match","Name Only Match"),"No Match"))</f>
        <v>Match</v>
      </c>
      <c r="CQ163" s="35" t="str">
        <f>IF(AND(CP163="Match",CK163&gt;0,CL163&gt;0),"Y","N")</f>
        <v>Y</v>
      </c>
      <c r="CS163" t="str">
        <f>IF($CQ163="Y",VLOOKUP($CM163,'SBA Size Standards'!$B$3:$G$57,MATCH('SBA Size Standards'!$G$3,'SBA Size Standards'!$B$3:$G$3,0),FALSE),"")</f>
        <v>Revenue</v>
      </c>
      <c r="CT163" s="60">
        <f>IF(CQ163="Y",IF($CS163="Employment","N/A",VLOOKUP($CM163,'SBA Size Standards'!$B$3:$G$57,MATCH('SBA Size Standards'!$E$3,'SBA Size Standards'!$B$3:$G$3,0),FALSE)),"")</f>
        <v>39500000</v>
      </c>
      <c r="CU163" s="86" t="str">
        <f>IF($CQ163="Y",IF($CS163="Revenue","N/A",VLOOKUP($CM163,'SBA Size Standards'!$B$3:$G$57,MATCH('SBA Size Standards'!$F$3,'SBA Size Standards'!$B$3:$G$3,0),FALSE)),"")</f>
        <v>N/A</v>
      </c>
      <c r="CV163" t="str">
        <f>IF($CQ163="Y",IF(OR(AND($CS163="Employment",$CL163&lt;$CU163),AND($CS163="Revenue",$CK163&lt;$CT163)),"YES","NO"),"")</f>
        <v>YES</v>
      </c>
      <c r="CW163" s="90" t="str">
        <f>IF($CQ163="Y",INDEX('SBA Size Standards'!$N$3:$N$12,MATCH($CK163,'SBA Size Standards'!$O$3:$O$12,1)),"")</f>
        <v>$5,000,001 - $100,000,000</v>
      </c>
      <c r="CX163" s="122" t="s">
        <v>4608</v>
      </c>
      <c r="CY163" s="122">
        <f>INDEX('NM O&amp;G Production'!$P$3:$P$537,MATCH(CX163,'NM O&amp;G Production'!$Q$3:$Q$537,0))</f>
        <v>168</v>
      </c>
      <c r="CZ163" s="122" t="str">
        <f>INDEX('NM O&amp;G Production'!$O$3:$O$537,MATCH(CY163,'NM O&amp;G Production'!$P$3:$P$537,0))</f>
        <v>Yes</v>
      </c>
      <c r="DA163" s="127">
        <f>INDEX('NM O&amp;G Production'!$K$3:$O$537,MATCH($CY163,'NM O&amp;G Production'!$P$3:$P$537,0),MATCH(DA$2,'NM O&amp;G Production'!$K$2:$O$2,0))</f>
        <v>0</v>
      </c>
      <c r="DB163" s="127">
        <f>INDEX('NM O&amp;G Production'!$K$3:$O$537,MATCH($CY163,'NM O&amp;G Production'!$P$3:$P$537,0),MATCH(DB$2,'NM O&amp;G Production'!$K$2:$O$2,0))</f>
        <v>9</v>
      </c>
      <c r="DC163" s="127">
        <f>DA163+DB163</f>
        <v>9</v>
      </c>
      <c r="DD163" s="127">
        <f>INDEX('NM O&amp;G Production'!$K$3:$O$537,MATCH($CY163,'NM O&amp;G Production'!$P$3:$P$537,0),MATCH(DD$2,'NM O&amp;G Production'!$K$2:$O$2,0))</f>
        <v>14955</v>
      </c>
      <c r="DE163" s="127">
        <f>INDEX('NM O&amp;G Production'!$K$3:$O$537,MATCH($CY163,'NM O&amp;G Production'!$P$3:$P$537,0),MATCH(DE$2,'NM O&amp;G Production'!$K$2:$O$2,0))</f>
        <v>11506</v>
      </c>
      <c r="DF163" s="258">
        <f>CK163/(DB163+DA163)</f>
        <v>606770.22222222225</v>
      </c>
      <c r="DG163" s="57">
        <f>DD163*(12/18)*1.06*'Oil and Gas Prices'!$C$18</f>
        <v>25257.998000000003</v>
      </c>
      <c r="DH163" s="284">
        <f>DE163*(12/18)*'Oil and Gas Prices'!$C$4</f>
        <v>345180</v>
      </c>
      <c r="DI163" s="284">
        <f>DG163+DH163</f>
        <v>370437.99800000002</v>
      </c>
      <c r="DJ163" s="57">
        <f>(DG163+DH163)/(DA163+DB163)</f>
        <v>41159.777555555556</v>
      </c>
      <c r="DK163" s="319"/>
    </row>
    <row r="164" spans="1:115" x14ac:dyDescent="0.25">
      <c r="A164" t="s">
        <v>498</v>
      </c>
      <c r="B164" t="s">
        <v>499</v>
      </c>
      <c r="D164" t="s">
        <v>153</v>
      </c>
      <c r="E164" t="s">
        <v>80</v>
      </c>
      <c r="F164">
        <v>79701</v>
      </c>
      <c r="G164" t="s">
        <v>62</v>
      </c>
      <c r="I164">
        <v>61</v>
      </c>
      <c r="J164" t="s">
        <v>63</v>
      </c>
      <c r="K164" t="s">
        <v>4133</v>
      </c>
      <c r="L164" t="s">
        <v>149</v>
      </c>
      <c r="M164">
        <v>10</v>
      </c>
      <c r="N164" t="s">
        <v>500</v>
      </c>
      <c r="O164" t="s">
        <v>501</v>
      </c>
      <c r="Q164" t="s">
        <v>502</v>
      </c>
      <c r="R164" t="s">
        <v>153</v>
      </c>
      <c r="S164" t="s">
        <v>94</v>
      </c>
      <c r="T164" t="s">
        <v>503</v>
      </c>
      <c r="U164" t="s">
        <v>62</v>
      </c>
      <c r="V164">
        <v>4326209181</v>
      </c>
      <c r="W164" s="1">
        <v>5308011</v>
      </c>
      <c r="X164">
        <v>17</v>
      </c>
      <c r="Y164">
        <v>17</v>
      </c>
      <c r="Z164">
        <v>2001</v>
      </c>
      <c r="AA164" t="s">
        <v>163</v>
      </c>
      <c r="AB164" t="s">
        <v>504</v>
      </c>
      <c r="AC164" t="s">
        <v>98</v>
      </c>
      <c r="AD164" t="s">
        <v>505</v>
      </c>
      <c r="AE164">
        <v>8742</v>
      </c>
      <c r="AF164" t="s">
        <v>506</v>
      </c>
      <c r="AG164">
        <v>8711</v>
      </c>
      <c r="AH164" t="s">
        <v>507</v>
      </c>
      <c r="AI164">
        <v>87420402</v>
      </c>
      <c r="AJ164" t="s">
        <v>508</v>
      </c>
      <c r="AK164">
        <v>87110000</v>
      </c>
      <c r="AL164" t="s">
        <v>509</v>
      </c>
      <c r="AM164">
        <v>541611</v>
      </c>
      <c r="AN164" t="s">
        <v>510</v>
      </c>
      <c r="AO164">
        <v>541330</v>
      </c>
      <c r="AP164" t="s">
        <v>507</v>
      </c>
      <c r="AQ164" t="s">
        <v>75</v>
      </c>
      <c r="AR164" t="s">
        <v>500</v>
      </c>
      <c r="AS164" t="s">
        <v>501</v>
      </c>
      <c r="AT164" t="s">
        <v>427</v>
      </c>
      <c r="AU164" t="s">
        <v>80</v>
      </c>
      <c r="AV164" t="s">
        <v>62</v>
      </c>
      <c r="AW164" t="s">
        <v>500</v>
      </c>
      <c r="AX164" t="s">
        <v>501</v>
      </c>
      <c r="AY164" t="s">
        <v>80</v>
      </c>
      <c r="AZ164" t="s">
        <v>62</v>
      </c>
      <c r="BE164" t="s">
        <v>62</v>
      </c>
      <c r="BF164">
        <v>1</v>
      </c>
      <c r="BG164">
        <v>2</v>
      </c>
      <c r="BH164" s="4" t="s">
        <v>500</v>
      </c>
      <c r="BI164" s="4" t="s">
        <v>501</v>
      </c>
      <c r="BK164" s="4" t="s">
        <v>502</v>
      </c>
      <c r="BL164" s="4" t="s">
        <v>153</v>
      </c>
      <c r="BM164" s="4" t="s">
        <v>94</v>
      </c>
      <c r="BN164" s="4" t="s">
        <v>503</v>
      </c>
      <c r="BO164" s="4" t="s">
        <v>62</v>
      </c>
      <c r="BP164" s="4">
        <v>4326209181</v>
      </c>
      <c r="BQ164" s="5">
        <v>5308011</v>
      </c>
      <c r="BR164" s="4">
        <v>17</v>
      </c>
      <c r="BS164" s="4">
        <v>17</v>
      </c>
      <c r="BT164" s="4">
        <v>2001</v>
      </c>
      <c r="BU164" s="4" t="s">
        <v>163</v>
      </c>
      <c r="BV164" s="4" t="s">
        <v>504</v>
      </c>
      <c r="BW164" s="4" t="s">
        <v>98</v>
      </c>
      <c r="BX164" s="4" t="s">
        <v>505</v>
      </c>
      <c r="BY164" s="4">
        <v>8742</v>
      </c>
      <c r="BZ164" s="4" t="s">
        <v>506</v>
      </c>
      <c r="CA164" s="4">
        <v>8711</v>
      </c>
      <c r="CB164" s="4" t="s">
        <v>507</v>
      </c>
      <c r="CC164" s="4">
        <v>87420402</v>
      </c>
      <c r="CD164" s="4" t="s">
        <v>508</v>
      </c>
      <c r="CE164" s="4">
        <v>87110000</v>
      </c>
      <c r="CF164" s="4" t="s">
        <v>509</v>
      </c>
      <c r="CG164" s="4">
        <v>541611</v>
      </c>
      <c r="CH164" s="4" t="s">
        <v>510</v>
      </c>
      <c r="CI164" s="4">
        <v>541330</v>
      </c>
      <c r="CJ164" s="4" t="s">
        <v>507</v>
      </c>
      <c r="CK164" s="19">
        <f>IF(BQ164&gt;0,BQ164,W164)</f>
        <v>5308011</v>
      </c>
      <c r="CL164" s="20">
        <f>IF(BS164&gt;0,BS164,Y164)</f>
        <v>17</v>
      </c>
      <c r="CM164" s="34">
        <f>IF(CG164&gt;0,CG164,AM164)</f>
        <v>541611</v>
      </c>
      <c r="CN164" s="80">
        <f>IF($BH164="",1,COUNTIF($BH$3:$BH164,$BH164))</f>
        <v>1</v>
      </c>
      <c r="CP164" t="str">
        <f>IF($K164="Standard Match","Match",IF($K164="Name Only Match",IF($CO164="Yes","Match","Name Only Match"),"No Match"))</f>
        <v>Match</v>
      </c>
      <c r="CQ164" s="35" t="str">
        <f>IF(AND(CP164="Match",CK164&gt;0,CL164&gt;0),"Y","N")</f>
        <v>Y</v>
      </c>
      <c r="CS164" t="str">
        <f>IF($CQ164="Y",VLOOKUP($CM164,'SBA Size Standards'!$B$3:$G$57,MATCH('SBA Size Standards'!$G$3,'SBA Size Standards'!$B$3:$G$3,0),FALSE),"")</f>
        <v>Revenue</v>
      </c>
      <c r="CT164" s="60">
        <f>IF(CQ164="Y",IF($CS164="Employment","N/A",VLOOKUP($CM164,'SBA Size Standards'!$B$3:$G$57,MATCH('SBA Size Standards'!$E$3,'SBA Size Standards'!$B$3:$G$3,0),FALSE)),"")</f>
        <v>16500000</v>
      </c>
      <c r="CU164" s="86" t="str">
        <f>IF($CQ164="Y",IF($CS164="Revenue","N/A",VLOOKUP($CM164,'SBA Size Standards'!$B$3:$G$57,MATCH('SBA Size Standards'!$F$3,'SBA Size Standards'!$B$3:$G$3,0),FALSE)),"")</f>
        <v>N/A</v>
      </c>
      <c r="CV164" t="str">
        <f>IF($CQ164="Y",IF(OR(AND($CS164="Employment",$CL164&lt;$CU164),AND($CS164="Revenue",$CK164&lt;$CT164)),"YES","NO"),"")</f>
        <v>YES</v>
      </c>
      <c r="CW164" s="90" t="str">
        <f>IF($CQ164="Y",INDEX('SBA Size Standards'!$N$3:$N$12,MATCH($CK164,'SBA Size Standards'!$O$3:$O$12,1)),"")</f>
        <v>$5,000,001 - $100,000,000</v>
      </c>
      <c r="CX164" s="122" t="s">
        <v>4558</v>
      </c>
      <c r="CY164" s="122">
        <f>INDEX('NM O&amp;G Production'!$P$3:$P$537,MATCH(CX164,'NM O&amp;G Production'!$Q$3:$Q$537,0))</f>
        <v>61</v>
      </c>
      <c r="CZ164" s="122" t="str">
        <f>INDEX('NM O&amp;G Production'!$O$3:$O$537,MATCH(CY164,'NM O&amp;G Production'!$P$3:$P$537,0))</f>
        <v>Yes</v>
      </c>
      <c r="DA164" s="127">
        <f>INDEX('NM O&amp;G Production'!$K$3:$O$537,MATCH($CY164,'NM O&amp;G Production'!$P$3:$P$537,0),MATCH(DA$2,'NM O&amp;G Production'!$K$2:$O$2,0))</f>
        <v>1</v>
      </c>
      <c r="DB164" s="127">
        <f>INDEX('NM O&amp;G Production'!$K$3:$O$537,MATCH($CY164,'NM O&amp;G Production'!$P$3:$P$537,0),MATCH(DB$2,'NM O&amp;G Production'!$K$2:$O$2,0))</f>
        <v>8</v>
      </c>
      <c r="DC164" s="127">
        <f>DA164+DB164</f>
        <v>9</v>
      </c>
      <c r="DD164" s="127">
        <f>INDEX('NM O&amp;G Production'!$K$3:$O$537,MATCH($CY164,'NM O&amp;G Production'!$P$3:$P$537,0),MATCH(DD$2,'NM O&amp;G Production'!$K$2:$O$2,0))</f>
        <v>25159</v>
      </c>
      <c r="DE164" s="127">
        <f>INDEX('NM O&amp;G Production'!$K$3:$O$537,MATCH($CY164,'NM O&amp;G Production'!$P$3:$P$537,0),MATCH(DE$2,'NM O&amp;G Production'!$K$2:$O$2,0))</f>
        <v>18795</v>
      </c>
      <c r="DF164" s="258">
        <f>CK164/(DB164+DA164)</f>
        <v>589779</v>
      </c>
      <c r="DG164" s="57">
        <f>DD164*(12/18)*1.06*'Oil and Gas Prices'!$C$18</f>
        <v>42491.873733333334</v>
      </c>
      <c r="DH164" s="284">
        <f>DE164*(12/18)*'Oil and Gas Prices'!$C$4</f>
        <v>563850</v>
      </c>
      <c r="DI164" s="284">
        <f>DG164+DH164</f>
        <v>606341.87373333331</v>
      </c>
      <c r="DJ164" s="57">
        <f>(DG164+DH164)/(DA164+DB164)</f>
        <v>67371.319303703698</v>
      </c>
      <c r="DK164" s="319"/>
    </row>
    <row r="165" spans="1:115" x14ac:dyDescent="0.25">
      <c r="A165" t="s">
        <v>3454</v>
      </c>
      <c r="B165" t="s">
        <v>3455</v>
      </c>
      <c r="D165" t="s">
        <v>88</v>
      </c>
      <c r="E165" t="s">
        <v>80</v>
      </c>
      <c r="F165">
        <v>76102</v>
      </c>
      <c r="G165" t="s">
        <v>62</v>
      </c>
      <c r="I165">
        <v>509</v>
      </c>
      <c r="J165" t="s">
        <v>63</v>
      </c>
      <c r="K165" t="s">
        <v>4133</v>
      </c>
      <c r="L165" t="s">
        <v>113</v>
      </c>
      <c r="M165">
        <v>8</v>
      </c>
      <c r="N165" t="s">
        <v>3456</v>
      </c>
      <c r="O165" t="s">
        <v>3457</v>
      </c>
      <c r="P165" t="s">
        <v>3458</v>
      </c>
      <c r="Q165" t="s">
        <v>3459</v>
      </c>
      <c r="R165" t="s">
        <v>88</v>
      </c>
      <c r="S165" t="s">
        <v>94</v>
      </c>
      <c r="T165" t="s">
        <v>3460</v>
      </c>
      <c r="U165" t="s">
        <v>62</v>
      </c>
      <c r="V165">
        <v>8173367232</v>
      </c>
      <c r="W165" s="1">
        <v>5205321</v>
      </c>
      <c r="X165">
        <v>30</v>
      </c>
      <c r="Y165">
        <v>35</v>
      </c>
      <c r="Z165">
        <v>1942</v>
      </c>
      <c r="AA165" t="s">
        <v>163</v>
      </c>
      <c r="AB165" t="s">
        <v>3461</v>
      </c>
      <c r="AC165" t="s">
        <v>242</v>
      </c>
      <c r="AD165" t="s">
        <v>99</v>
      </c>
      <c r="AE165">
        <v>1311</v>
      </c>
      <c r="AF165" t="s">
        <v>100</v>
      </c>
      <c r="AI165">
        <v>13110101</v>
      </c>
      <c r="AJ165" t="s">
        <v>102</v>
      </c>
      <c r="AM165">
        <v>211120</v>
      </c>
      <c r="AN165" t="s">
        <v>104</v>
      </c>
      <c r="AQ165" t="s">
        <v>75</v>
      </c>
      <c r="AR165" t="s">
        <v>3456</v>
      </c>
      <c r="AS165" t="s">
        <v>3457</v>
      </c>
      <c r="AT165" t="s">
        <v>427</v>
      </c>
      <c r="AU165" t="s">
        <v>80</v>
      </c>
      <c r="AV165" t="s">
        <v>62</v>
      </c>
      <c r="AW165" t="s">
        <v>3456</v>
      </c>
      <c r="AX165" t="s">
        <v>3457</v>
      </c>
      <c r="AY165" t="s">
        <v>80</v>
      </c>
      <c r="AZ165" t="s">
        <v>62</v>
      </c>
      <c r="BE165" t="s">
        <v>62</v>
      </c>
      <c r="BF165">
        <v>1</v>
      </c>
      <c r="BG165">
        <v>2</v>
      </c>
      <c r="BH165" s="4" t="s">
        <v>3456</v>
      </c>
      <c r="BI165" s="4" t="s">
        <v>3457</v>
      </c>
      <c r="BJ165" s="4" t="s">
        <v>3458</v>
      </c>
      <c r="BK165" s="4" t="s">
        <v>3459</v>
      </c>
      <c r="BL165" s="4" t="s">
        <v>88</v>
      </c>
      <c r="BM165" s="4" t="s">
        <v>94</v>
      </c>
      <c r="BN165" s="4" t="s">
        <v>3460</v>
      </c>
      <c r="BO165" s="4" t="s">
        <v>62</v>
      </c>
      <c r="BP165" s="4">
        <v>8173367232</v>
      </c>
      <c r="BQ165" s="5">
        <v>5205321</v>
      </c>
      <c r="BR165" s="4">
        <v>30</v>
      </c>
      <c r="BS165" s="4">
        <v>35</v>
      </c>
      <c r="BT165" s="4">
        <v>1942</v>
      </c>
      <c r="BU165" s="4" t="s">
        <v>163</v>
      </c>
      <c r="BV165" s="4" t="s">
        <v>3461</v>
      </c>
      <c r="BW165" s="4" t="s">
        <v>242</v>
      </c>
      <c r="BX165" s="4" t="s">
        <v>99</v>
      </c>
      <c r="BY165" s="4">
        <v>1311</v>
      </c>
      <c r="BZ165" s="4" t="s">
        <v>100</v>
      </c>
      <c r="CC165" s="4">
        <v>13110101</v>
      </c>
      <c r="CD165" s="4" t="s">
        <v>102</v>
      </c>
      <c r="CG165" s="4">
        <v>211120</v>
      </c>
      <c r="CH165" s="4" t="s">
        <v>104</v>
      </c>
      <c r="CK165" s="19">
        <f>IF(BQ165&gt;0,BQ165,W165)</f>
        <v>5205321</v>
      </c>
      <c r="CL165" s="20">
        <f>IF(BS165&gt;0,BS165,Y165)</f>
        <v>35</v>
      </c>
      <c r="CM165" s="34">
        <f>IF(CG165&gt;0,CG165,AM165)</f>
        <v>211120</v>
      </c>
      <c r="CN165" s="80">
        <f>IF($BH165="",1,COUNTIF($BH$3:$BH165,$BH165))</f>
        <v>1</v>
      </c>
      <c r="CP165" t="str">
        <f>IF($K165="Standard Match","Match",IF($K165="Name Only Match",IF($CO165="Yes","Match","Name Only Match"),"No Match"))</f>
        <v>Match</v>
      </c>
      <c r="CQ165" s="35" t="str">
        <f>IF(AND(CP165="Match",CK165&gt;0,CL165&gt;0),"Y","N")</f>
        <v>Y</v>
      </c>
      <c r="CS165" t="str">
        <f>IF($CQ165="Y",VLOOKUP($CM165,'SBA Size Standards'!$B$3:$G$57,MATCH('SBA Size Standards'!$G$3,'SBA Size Standards'!$B$3:$G$3,0),FALSE),"")</f>
        <v>Employment</v>
      </c>
      <c r="CT165" s="60" t="str">
        <f>IF(CQ165="Y",IF($CS165="Employment","N/A",VLOOKUP($CM165,'SBA Size Standards'!$B$3:$G$57,MATCH('SBA Size Standards'!$E$3,'SBA Size Standards'!$B$3:$G$3,0),FALSE)),"")</f>
        <v>N/A</v>
      </c>
      <c r="CU165" s="86">
        <f>IF($CQ165="Y",IF($CS165="Revenue","N/A",VLOOKUP($CM165,'SBA Size Standards'!$B$3:$G$57,MATCH('SBA Size Standards'!$F$3,'SBA Size Standards'!$B$3:$G$3,0),FALSE)),"")</f>
        <v>1250</v>
      </c>
      <c r="CV165" t="str">
        <f>IF($CQ165="Y",IF(OR(AND($CS165="Employment",$CL165&lt;$CU165),AND($CS165="Revenue",$CK165&lt;$CT165)),"YES","NO"),"")</f>
        <v>YES</v>
      </c>
      <c r="CW165" s="90" t="str">
        <f>IF($CQ165="Y",INDEX('SBA Size Standards'!$N$3:$N$12,MATCH($CK165,'SBA Size Standards'!$O$3:$O$12,1)),"")</f>
        <v>$5,000,001 - $100,000,000</v>
      </c>
      <c r="CX165" s="122" t="s">
        <v>4920</v>
      </c>
      <c r="CY165" s="122">
        <f>INDEX('NM O&amp;G Production'!$P$3:$P$537,MATCH(CX165,'NM O&amp;G Production'!$Q$3:$Q$537,0))</f>
        <v>509</v>
      </c>
      <c r="CZ165" s="122" t="str">
        <f>INDEX('NM O&amp;G Production'!$O$3:$O$537,MATCH(CY165,'NM O&amp;G Production'!$P$3:$P$537,0))</f>
        <v>Yes</v>
      </c>
      <c r="DA165" s="127">
        <f>INDEX('NM O&amp;G Production'!$K$3:$O$537,MATCH($CY165,'NM O&amp;G Production'!$P$3:$P$537,0),MATCH(DA$2,'NM O&amp;G Production'!$K$2:$O$2,0))</f>
        <v>1</v>
      </c>
      <c r="DB165" s="127">
        <f>INDEX('NM O&amp;G Production'!$K$3:$O$537,MATCH($CY165,'NM O&amp;G Production'!$P$3:$P$537,0),MATCH(DB$2,'NM O&amp;G Production'!$K$2:$O$2,0))</f>
        <v>4</v>
      </c>
      <c r="DC165" s="127">
        <f>DA165+DB165</f>
        <v>5</v>
      </c>
      <c r="DD165" s="127">
        <f>INDEX('NM O&amp;G Production'!$K$3:$O$537,MATCH($CY165,'NM O&amp;G Production'!$P$3:$P$537,0),MATCH(DD$2,'NM O&amp;G Production'!$K$2:$O$2,0))</f>
        <v>8347</v>
      </c>
      <c r="DE165" s="127">
        <f>INDEX('NM O&amp;G Production'!$K$3:$O$537,MATCH($CY165,'NM O&amp;G Production'!$P$3:$P$537,0),MATCH(DE$2,'NM O&amp;G Production'!$K$2:$O$2,0))</f>
        <v>2644</v>
      </c>
      <c r="DF165" s="258">
        <f>CK165/(DB165+DA165)</f>
        <v>1041064.2</v>
      </c>
      <c r="DG165" s="57">
        <f>DD165*(12/18)*1.06*'Oil and Gas Prices'!$C$18</f>
        <v>14097.526533333334</v>
      </c>
      <c r="DH165" s="284">
        <f>DE165*(12/18)*'Oil and Gas Prices'!$C$4</f>
        <v>79320</v>
      </c>
      <c r="DI165" s="284">
        <f>DG165+DH165</f>
        <v>93417.526533333337</v>
      </c>
      <c r="DJ165" s="57">
        <f>(DG165+DH165)/(DA165+DB165)</f>
        <v>18683.505306666666</v>
      </c>
      <c r="DK165" s="318"/>
    </row>
    <row r="166" spans="1:115" x14ac:dyDescent="0.25">
      <c r="A166" t="s">
        <v>1692</v>
      </c>
      <c r="B166" t="s">
        <v>1693</v>
      </c>
      <c r="D166" t="s">
        <v>88</v>
      </c>
      <c r="E166" t="s">
        <v>80</v>
      </c>
      <c r="F166">
        <v>761075111</v>
      </c>
      <c r="G166" t="s">
        <v>62</v>
      </c>
      <c r="I166">
        <v>232</v>
      </c>
      <c r="J166" t="s">
        <v>63</v>
      </c>
      <c r="K166" t="s">
        <v>4133</v>
      </c>
      <c r="L166" t="s">
        <v>64</v>
      </c>
      <c r="M166">
        <v>10</v>
      </c>
      <c r="N166" t="s">
        <v>1694</v>
      </c>
      <c r="O166" t="s">
        <v>1695</v>
      </c>
      <c r="Q166" t="s">
        <v>1696</v>
      </c>
      <c r="R166" t="s">
        <v>88</v>
      </c>
      <c r="S166" t="s">
        <v>94</v>
      </c>
      <c r="T166" t="s">
        <v>1697</v>
      </c>
      <c r="U166" t="s">
        <v>62</v>
      </c>
      <c r="V166">
        <v>8172891414</v>
      </c>
      <c r="W166" s="1">
        <v>4878966</v>
      </c>
      <c r="X166">
        <v>23</v>
      </c>
      <c r="Y166">
        <v>38</v>
      </c>
      <c r="Z166">
        <v>2010</v>
      </c>
      <c r="AA166" t="s">
        <v>163</v>
      </c>
      <c r="AB166" t="s">
        <v>1698</v>
      </c>
      <c r="AC166" t="s">
        <v>231</v>
      </c>
      <c r="AD166" t="s">
        <v>505</v>
      </c>
      <c r="AE166">
        <v>8742</v>
      </c>
      <c r="AF166" t="s">
        <v>506</v>
      </c>
      <c r="AI166">
        <v>87420500</v>
      </c>
      <c r="AJ166" t="s">
        <v>538</v>
      </c>
      <c r="AM166">
        <v>541611</v>
      </c>
      <c r="AN166" t="s">
        <v>510</v>
      </c>
      <c r="AQ166" t="s">
        <v>75</v>
      </c>
      <c r="AR166" t="s">
        <v>1694</v>
      </c>
      <c r="AS166" t="s">
        <v>1695</v>
      </c>
      <c r="AT166" t="s">
        <v>427</v>
      </c>
      <c r="AU166" t="s">
        <v>80</v>
      </c>
      <c r="AV166" t="s">
        <v>62</v>
      </c>
      <c r="AW166" t="s">
        <v>1694</v>
      </c>
      <c r="AX166" t="s">
        <v>1695</v>
      </c>
      <c r="AY166" t="s">
        <v>80</v>
      </c>
      <c r="AZ166" t="s">
        <v>62</v>
      </c>
      <c r="BE166" t="s">
        <v>62</v>
      </c>
      <c r="BF166">
        <v>1</v>
      </c>
      <c r="BG166">
        <v>2</v>
      </c>
      <c r="BH166" s="4" t="s">
        <v>1694</v>
      </c>
      <c r="BI166" s="4" t="s">
        <v>1695</v>
      </c>
      <c r="BK166" s="4" t="s">
        <v>1696</v>
      </c>
      <c r="BL166" s="4" t="s">
        <v>88</v>
      </c>
      <c r="BM166" s="4" t="s">
        <v>94</v>
      </c>
      <c r="BN166" s="4" t="s">
        <v>1697</v>
      </c>
      <c r="BO166" s="4" t="s">
        <v>62</v>
      </c>
      <c r="BP166" s="4">
        <v>8172891414</v>
      </c>
      <c r="BQ166" s="5">
        <v>4878966</v>
      </c>
      <c r="BR166" s="4">
        <v>23</v>
      </c>
      <c r="BS166" s="4">
        <v>38</v>
      </c>
      <c r="BT166" s="4">
        <v>2010</v>
      </c>
      <c r="BU166" s="4" t="s">
        <v>163</v>
      </c>
      <c r="BV166" s="4" t="s">
        <v>1698</v>
      </c>
      <c r="BW166" s="4" t="s">
        <v>231</v>
      </c>
      <c r="BX166" s="4" t="s">
        <v>505</v>
      </c>
      <c r="BY166" s="4">
        <v>8742</v>
      </c>
      <c r="BZ166" s="4" t="s">
        <v>506</v>
      </c>
      <c r="CC166" s="4">
        <v>87420500</v>
      </c>
      <c r="CD166" s="4" t="s">
        <v>538</v>
      </c>
      <c r="CG166" s="4">
        <v>541611</v>
      </c>
      <c r="CH166" s="4" t="s">
        <v>510</v>
      </c>
      <c r="CK166" s="19">
        <f>IF(BQ166&gt;0,BQ166,W166)</f>
        <v>4878966</v>
      </c>
      <c r="CL166" s="20">
        <f>IF(BS166&gt;0,BS166,Y166)</f>
        <v>38</v>
      </c>
      <c r="CM166" s="34">
        <f>IF(CG166&gt;0,CG166,AM166)</f>
        <v>541611</v>
      </c>
      <c r="CN166" s="80">
        <f>IF($BH166="",1,COUNTIF($BH$3:$BH166,$BH166))</f>
        <v>1</v>
      </c>
      <c r="CP166" t="str">
        <f>IF($K166="Standard Match","Match",IF($K166="Name Only Match",IF($CO166="Yes","Match","Name Only Match"),"No Match"))</f>
        <v>Match</v>
      </c>
      <c r="CQ166" s="35" t="str">
        <f>IF(AND(CP166="Match",CK166&gt;0,CL166&gt;0),"Y","N")</f>
        <v>Y</v>
      </c>
      <c r="CS166" t="str">
        <f>IF($CQ166="Y",VLOOKUP($CM166,'SBA Size Standards'!$B$3:$G$57,MATCH('SBA Size Standards'!$G$3,'SBA Size Standards'!$B$3:$G$3,0),FALSE),"")</f>
        <v>Revenue</v>
      </c>
      <c r="CT166" s="60">
        <f>IF(CQ166="Y",IF($CS166="Employment","N/A",VLOOKUP($CM166,'SBA Size Standards'!$B$3:$G$57,MATCH('SBA Size Standards'!$E$3,'SBA Size Standards'!$B$3:$G$3,0),FALSE)),"")</f>
        <v>16500000</v>
      </c>
      <c r="CU166" s="86" t="str">
        <f>IF($CQ166="Y",IF($CS166="Revenue","N/A",VLOOKUP($CM166,'SBA Size Standards'!$B$3:$G$57,MATCH('SBA Size Standards'!$F$3,'SBA Size Standards'!$B$3:$G$3,0),FALSE)),"")</f>
        <v>N/A</v>
      </c>
      <c r="CV166" t="str">
        <f>IF($CQ166="Y",IF(OR(AND($CS166="Employment",$CL166&lt;$CU166),AND($CS166="Revenue",$CK166&lt;$CT166)),"YES","NO"),"")</f>
        <v>YES</v>
      </c>
      <c r="CW166" s="90" t="str">
        <f>IF($CQ166="Y",INDEX('SBA Size Standards'!$N$3:$N$12,MATCH($CK166,'SBA Size Standards'!$O$3:$O$12,1)),"")</f>
        <v>$1,000,001 - $5,000,000</v>
      </c>
      <c r="CX166" s="122" t="s">
        <v>4645</v>
      </c>
      <c r="CY166" s="122">
        <f>INDEX('NM O&amp;G Production'!$P$3:$P$537,MATCH(CX166,'NM O&amp;G Production'!$Q$3:$Q$537,0))</f>
        <v>232</v>
      </c>
      <c r="CZ166" s="122" t="str">
        <f>INDEX('NM O&amp;G Production'!$O$3:$O$537,MATCH(CY166,'NM O&amp;G Production'!$P$3:$P$537,0))</f>
        <v>Yes</v>
      </c>
      <c r="DA166" s="127">
        <f>INDEX('NM O&amp;G Production'!$K$3:$O$537,MATCH($CY166,'NM O&amp;G Production'!$P$3:$P$537,0),MATCH(DA$2,'NM O&amp;G Production'!$K$2:$O$2,0))</f>
        <v>1</v>
      </c>
      <c r="DB166" s="127">
        <f>INDEX('NM O&amp;G Production'!$K$3:$O$537,MATCH($CY166,'NM O&amp;G Production'!$P$3:$P$537,0),MATCH(DB$2,'NM O&amp;G Production'!$K$2:$O$2,0))</f>
        <v>4</v>
      </c>
      <c r="DC166" s="127">
        <f>DA166+DB166</f>
        <v>5</v>
      </c>
      <c r="DD166" s="127">
        <f>INDEX('NM O&amp;G Production'!$K$3:$O$537,MATCH($CY166,'NM O&amp;G Production'!$P$3:$P$537,0),MATCH(DD$2,'NM O&amp;G Production'!$K$2:$O$2,0))</f>
        <v>5423</v>
      </c>
      <c r="DE166" s="127">
        <f>INDEX('NM O&amp;G Production'!$K$3:$O$537,MATCH($CY166,'NM O&amp;G Production'!$P$3:$P$537,0),MATCH(DE$2,'NM O&amp;G Production'!$K$2:$O$2,0))</f>
        <v>3444</v>
      </c>
      <c r="DF166" s="258">
        <f>CK166/(DB166+DA166)</f>
        <v>975793.2</v>
      </c>
      <c r="DG166" s="57">
        <f>DD166*(12/18)*1.06*'Oil and Gas Prices'!$C$18</f>
        <v>9159.0854666666673</v>
      </c>
      <c r="DH166" s="284">
        <f>DE166*(12/18)*'Oil and Gas Prices'!$C$4</f>
        <v>103320</v>
      </c>
      <c r="DI166" s="284">
        <f>DG166+DH166</f>
        <v>112479.08546666667</v>
      </c>
      <c r="DJ166" s="57">
        <f>(DG166+DH166)/(DA166+DB166)</f>
        <v>22495.817093333335</v>
      </c>
      <c r="DK166" s="318"/>
    </row>
    <row r="167" spans="1:115" x14ac:dyDescent="0.25">
      <c r="A167" t="s">
        <v>2610</v>
      </c>
      <c r="B167" t="s">
        <v>2611</v>
      </c>
      <c r="D167" t="s">
        <v>183</v>
      </c>
      <c r="E167" t="s">
        <v>184</v>
      </c>
      <c r="F167">
        <v>74135</v>
      </c>
      <c r="G167" t="s">
        <v>62</v>
      </c>
      <c r="I167">
        <v>376</v>
      </c>
      <c r="J167" t="s">
        <v>63</v>
      </c>
      <c r="K167" t="s">
        <v>4133</v>
      </c>
      <c r="L167" t="s">
        <v>64</v>
      </c>
      <c r="M167">
        <v>10</v>
      </c>
      <c r="N167" t="s">
        <v>2612</v>
      </c>
      <c r="O167" t="s">
        <v>2613</v>
      </c>
      <c r="Q167" t="s">
        <v>2614</v>
      </c>
      <c r="R167" t="s">
        <v>183</v>
      </c>
      <c r="S167" t="s">
        <v>188</v>
      </c>
      <c r="T167" t="s">
        <v>2615</v>
      </c>
      <c r="U167" t="s">
        <v>62</v>
      </c>
      <c r="V167">
        <v>9189364600</v>
      </c>
      <c r="W167" s="1">
        <v>4831448</v>
      </c>
      <c r="X167">
        <v>23</v>
      </c>
      <c r="Y167">
        <v>23</v>
      </c>
      <c r="Z167">
        <v>1987</v>
      </c>
      <c r="AA167" t="s">
        <v>70</v>
      </c>
      <c r="AB167" t="s">
        <v>2616</v>
      </c>
      <c r="AC167" t="s">
        <v>923</v>
      </c>
      <c r="AD167" t="s">
        <v>505</v>
      </c>
      <c r="AE167">
        <v>8742</v>
      </c>
      <c r="AF167" t="s">
        <v>506</v>
      </c>
      <c r="AI167">
        <v>87420500</v>
      </c>
      <c r="AJ167" t="s">
        <v>538</v>
      </c>
      <c r="AM167">
        <v>541611</v>
      </c>
      <c r="AN167" t="s">
        <v>510</v>
      </c>
      <c r="AQ167" t="s">
        <v>75</v>
      </c>
      <c r="AT167" t="s">
        <v>76</v>
      </c>
      <c r="BF167">
        <v>0</v>
      </c>
      <c r="BG167">
        <v>0</v>
      </c>
      <c r="CK167" s="19">
        <f>IF(BQ167&gt;0,BQ167,W167)</f>
        <v>4831448</v>
      </c>
      <c r="CL167" s="20">
        <f>IF(BS167&gt;0,BS167,Y167)</f>
        <v>23</v>
      </c>
      <c r="CM167" s="34">
        <f>IF(CG167&gt;0,CG167,AM167)</f>
        <v>541611</v>
      </c>
      <c r="CN167" s="80">
        <f>IF($BH167="",1,COUNTIF($BH$3:$BH167,$BH167))</f>
        <v>1</v>
      </c>
      <c r="CP167" t="str">
        <f>IF($K167="Standard Match","Match",IF($K167="Name Only Match",IF($CO167="Yes","Match","Name Only Match"),"No Match"))</f>
        <v>Match</v>
      </c>
      <c r="CQ167" s="35" t="str">
        <f>IF(AND(CP167="Match",CK167&gt;0,CL167&gt;0),"Y","N")</f>
        <v>Y</v>
      </c>
      <c r="CS167" t="str">
        <f>IF($CQ167="Y",VLOOKUP($CM167,'SBA Size Standards'!$B$3:$G$57,MATCH('SBA Size Standards'!$G$3,'SBA Size Standards'!$B$3:$G$3,0),FALSE),"")</f>
        <v>Revenue</v>
      </c>
      <c r="CT167" s="60">
        <f>IF(CQ167="Y",IF($CS167="Employment","N/A",VLOOKUP($CM167,'SBA Size Standards'!$B$3:$G$57,MATCH('SBA Size Standards'!$E$3,'SBA Size Standards'!$B$3:$G$3,0),FALSE)),"")</f>
        <v>16500000</v>
      </c>
      <c r="CU167" s="86" t="str">
        <f>IF($CQ167="Y",IF($CS167="Revenue","N/A",VLOOKUP($CM167,'SBA Size Standards'!$B$3:$G$57,MATCH('SBA Size Standards'!$F$3,'SBA Size Standards'!$B$3:$G$3,0),FALSE)),"")</f>
        <v>N/A</v>
      </c>
      <c r="CV167" t="str">
        <f>IF($CQ167="Y",IF(OR(AND($CS167="Employment",$CL167&lt;$CU167),AND($CS167="Revenue",$CK167&lt;$CT167)),"YES","NO"),"")</f>
        <v>YES</v>
      </c>
      <c r="CW167" s="90" t="str">
        <f>IF($CQ167="Y",INDEX('SBA Size Standards'!$N$3:$N$12,MATCH($CK167,'SBA Size Standards'!$O$3:$O$12,1)),"")</f>
        <v>$1,000,001 - $5,000,000</v>
      </c>
      <c r="CX167" s="122" t="s">
        <v>4710</v>
      </c>
      <c r="CY167" s="122">
        <f>INDEX('NM O&amp;G Production'!$P$3:$P$537,MATCH(CX167,'NM O&amp;G Production'!$Q$3:$Q$537,0))</f>
        <v>376</v>
      </c>
      <c r="CZ167" s="122" t="str">
        <f>INDEX('NM O&amp;G Production'!$O$3:$O$537,MATCH(CY167,'NM O&amp;G Production'!$P$3:$P$537,0))</f>
        <v>Yes</v>
      </c>
      <c r="DA167" s="127">
        <f>INDEX('NM O&amp;G Production'!$K$3:$O$537,MATCH($CY167,'NM O&amp;G Production'!$P$3:$P$537,0),MATCH(DA$2,'NM O&amp;G Production'!$K$2:$O$2,0))</f>
        <v>2</v>
      </c>
      <c r="DB167" s="127">
        <f>INDEX('NM O&amp;G Production'!$K$3:$O$537,MATCH($CY167,'NM O&amp;G Production'!$P$3:$P$537,0),MATCH(DB$2,'NM O&amp;G Production'!$K$2:$O$2,0))</f>
        <v>5</v>
      </c>
      <c r="DC167" s="127">
        <f>DA167+DB167</f>
        <v>7</v>
      </c>
      <c r="DD167" s="127">
        <f>INDEX('NM O&amp;G Production'!$K$3:$O$537,MATCH($CY167,'NM O&amp;G Production'!$P$3:$P$537,0),MATCH(DD$2,'NM O&amp;G Production'!$K$2:$O$2,0))</f>
        <v>27967</v>
      </c>
      <c r="DE167" s="127">
        <f>INDEX('NM O&amp;G Production'!$K$3:$O$537,MATCH($CY167,'NM O&amp;G Production'!$P$3:$P$537,0),MATCH(DE$2,'NM O&amp;G Production'!$K$2:$O$2,0))</f>
        <v>13545</v>
      </c>
      <c r="DF167" s="258">
        <f>CK167/(DB167+DA167)</f>
        <v>690206.85714285716</v>
      </c>
      <c r="DG167" s="57">
        <f>DD167*(12/18)*1.06*'Oil and Gas Prices'!$C$18</f>
        <v>47234.398533333333</v>
      </c>
      <c r="DH167" s="284">
        <f>DE167*(12/18)*'Oil and Gas Prices'!$C$4</f>
        <v>406350</v>
      </c>
      <c r="DI167" s="284">
        <f>DG167+DH167</f>
        <v>453584.39853333333</v>
      </c>
      <c r="DJ167" s="57">
        <f>(DG167+DH167)/(DA167+DB167)</f>
        <v>64797.771219047616</v>
      </c>
      <c r="DK167" s="319"/>
    </row>
    <row r="168" spans="1:115" x14ac:dyDescent="0.25">
      <c r="A168" t="s">
        <v>58</v>
      </c>
      <c r="B168" t="s">
        <v>59</v>
      </c>
      <c r="D168" t="s">
        <v>60</v>
      </c>
      <c r="E168" t="s">
        <v>61</v>
      </c>
      <c r="F168">
        <v>80202</v>
      </c>
      <c r="G168" t="s">
        <v>62</v>
      </c>
      <c r="I168">
        <v>1</v>
      </c>
      <c r="J168" t="s">
        <v>63</v>
      </c>
      <c r="K168" t="s">
        <v>4133</v>
      </c>
      <c r="L168" t="s">
        <v>64</v>
      </c>
      <c r="M168">
        <v>10</v>
      </c>
      <c r="N168" t="s">
        <v>65</v>
      </c>
      <c r="O168" t="s">
        <v>66</v>
      </c>
      <c r="Q168" t="s">
        <v>67</v>
      </c>
      <c r="R168" t="s">
        <v>60</v>
      </c>
      <c r="S168" t="s">
        <v>68</v>
      </c>
      <c r="T168" t="s">
        <v>69</v>
      </c>
      <c r="U168" t="s">
        <v>62</v>
      </c>
      <c r="V168">
        <v>3036268290</v>
      </c>
      <c r="W168" s="1">
        <v>4733052</v>
      </c>
      <c r="X168">
        <v>2</v>
      </c>
      <c r="Y168">
        <v>2</v>
      </c>
      <c r="Z168">
        <v>2017</v>
      </c>
      <c r="AA168" t="s">
        <v>70</v>
      </c>
      <c r="AD168" t="s">
        <v>71</v>
      </c>
      <c r="AE168">
        <v>1389</v>
      </c>
      <c r="AF168" t="s">
        <v>72</v>
      </c>
      <c r="AI168">
        <v>13890000</v>
      </c>
      <c r="AJ168" t="s">
        <v>73</v>
      </c>
      <c r="AM168">
        <v>213112</v>
      </c>
      <c r="AN168" t="s">
        <v>74</v>
      </c>
      <c r="AQ168" t="s">
        <v>75</v>
      </c>
      <c r="AT168" t="s">
        <v>76</v>
      </c>
      <c r="BF168">
        <v>0</v>
      </c>
      <c r="BG168">
        <v>0</v>
      </c>
      <c r="CK168" s="19">
        <f>IF($BQ168&gt;0,$BQ168,$W168)</f>
        <v>4733052</v>
      </c>
      <c r="CL168" s="20">
        <f>IF(BS168&gt;0,BS168,Y168)</f>
        <v>2</v>
      </c>
      <c r="CM168" s="34">
        <f>IF(CG168&gt;0,CG168,AM168)</f>
        <v>213112</v>
      </c>
      <c r="CN168" s="80">
        <f>IF($BH168="",1,COUNTIF($BH$3:$BH168,$BH168))</f>
        <v>1</v>
      </c>
      <c r="CP168" t="str">
        <f>IF($K168="Standard Match","Match",IF($K168="Name Only Match",IF($CO168="Yes","Match","Name Only Match"),"No Match"))</f>
        <v>Match</v>
      </c>
      <c r="CQ168" s="35" t="str">
        <f>IF(AND(CP168="Match",CK168&gt;0,CL168&gt;0),"Y","N")</f>
        <v>Y</v>
      </c>
      <c r="CS168" t="str">
        <f>IF($CQ168="Y",VLOOKUP($CM168,'SBA Size Standards'!$B$3:$G$57,MATCH('SBA Size Standards'!$G$3,'SBA Size Standards'!$B$3:$G$3,0),FALSE),"")</f>
        <v>Revenue</v>
      </c>
      <c r="CT168" s="60">
        <f>IF(CQ168="Y",IF($CS168="Employment","N/A",VLOOKUP($CM168,'SBA Size Standards'!$B$3:$G$57,MATCH('SBA Size Standards'!$E$3,'SBA Size Standards'!$B$3:$G$3,0),FALSE)),"")</f>
        <v>41500000</v>
      </c>
      <c r="CU168" s="86" t="str">
        <f>IF($CQ168="Y",IF($CS168="Revenue","N/A",VLOOKUP($CM168,'SBA Size Standards'!$B$3:$G$57,MATCH('SBA Size Standards'!$F$3,'SBA Size Standards'!$B$3:$G$3,0),FALSE)),"")</f>
        <v>N/A</v>
      </c>
      <c r="CV168" t="str">
        <f>IF($CQ168="Y",IF(OR(AND($CS168="Employment",$CL168&lt;$CU168),AND($CS168="Revenue",$CK168&lt;$CT168)),"YES","NO"),"")</f>
        <v>YES</v>
      </c>
      <c r="CW168" s="90" t="str">
        <f>IF($CQ168="Y",INDEX('SBA Size Standards'!$N$3:$N$12,MATCH($CK168,'SBA Size Standards'!$O$3:$O$12,1)),"")</f>
        <v>$1,000,001 - $5,000,000</v>
      </c>
      <c r="CX168" s="122" t="s">
        <v>4535</v>
      </c>
      <c r="CY168" s="122">
        <f>INDEX('NM O&amp;G Production'!$P$3:$P$537,MATCH(CX168,'NM O&amp;G Production'!$Q$3:$Q$537,0))</f>
        <v>1</v>
      </c>
      <c r="CZ168" s="122" t="str">
        <f>INDEX('NM O&amp;G Production'!$K$3:$O$537,MATCH($CY168,'NM O&amp;G Production'!$P$3:$P$537,0),MATCH(CZ$2,'NM O&amp;G Production'!$K$2:$O$2,0))</f>
        <v>No</v>
      </c>
      <c r="DA168" s="127">
        <f>INDEX('NM O&amp;G Production'!$K$3:$O$537,MATCH($CY168,'NM O&amp;G Production'!$P$3:$P$537,0),MATCH(DA$2,'NM O&amp;G Production'!$K$2:$O$2,0))</f>
        <v>0</v>
      </c>
      <c r="DB168" s="127">
        <f>INDEX('NM O&amp;G Production'!$K$3:$O$537,MATCH($CY168,'NM O&amp;G Production'!$P$3:$P$537,0),MATCH(DB$2,'NM O&amp;G Production'!$K$2:$O$2,0))</f>
        <v>0</v>
      </c>
      <c r="DC168" s="127"/>
      <c r="DD168" s="127">
        <f>INDEX('NM O&amp;G Production'!$K$3:$O$537,MATCH($CY168,'NM O&amp;G Production'!$P$3:$P$537,0),MATCH(DD$2,'NM O&amp;G Production'!$K$2:$O$2,0))</f>
        <v>0</v>
      </c>
      <c r="DE168" s="127">
        <f>INDEX('NM O&amp;G Production'!$K$3:$O$537,MATCH($CY168,'NM O&amp;G Production'!$P$3:$P$537,0),MATCH(DE$2,'NM O&amp;G Production'!$K$2:$O$2,0))</f>
        <v>0</v>
      </c>
      <c r="DF168" s="258" t="e">
        <f>CK168/(DB168+DA168)</f>
        <v>#DIV/0!</v>
      </c>
      <c r="DG168" s="57">
        <f>DD168*(12/18)*1.06*'Oil and Gas Prices'!$C$18</f>
        <v>0</v>
      </c>
      <c r="DH168" s="284">
        <f>DE168*(12/18)*'Oil and Gas Prices'!$C$4</f>
        <v>0</v>
      </c>
      <c r="DI168" s="284"/>
      <c r="DJ168" s="57" t="e">
        <f>(DG168+DH168)/(DA168+DB168)</f>
        <v>#DIV/0!</v>
      </c>
      <c r="DK168" s="18" t="e">
        <f>CK168/DI168</f>
        <v>#DIV/0!</v>
      </c>
    </row>
    <row r="169" spans="1:115" x14ac:dyDescent="0.25">
      <c r="A169" t="s">
        <v>2407</v>
      </c>
      <c r="B169" t="s">
        <v>2408</v>
      </c>
      <c r="D169" t="s">
        <v>153</v>
      </c>
      <c r="E169" t="s">
        <v>80</v>
      </c>
      <c r="F169">
        <v>79710</v>
      </c>
      <c r="G169" t="s">
        <v>62</v>
      </c>
      <c r="I169">
        <v>343</v>
      </c>
      <c r="J169" t="s">
        <v>63</v>
      </c>
      <c r="K169" t="s">
        <v>4133</v>
      </c>
      <c r="L169" t="s">
        <v>279</v>
      </c>
      <c r="M169">
        <v>8</v>
      </c>
      <c r="N169" t="s">
        <v>2409</v>
      </c>
      <c r="O169" t="s">
        <v>2407</v>
      </c>
      <c r="Q169" t="s">
        <v>2405</v>
      </c>
      <c r="R169" t="s">
        <v>153</v>
      </c>
      <c r="S169" t="s">
        <v>94</v>
      </c>
      <c r="T169" t="s">
        <v>2406</v>
      </c>
      <c r="U169" t="s">
        <v>62</v>
      </c>
      <c r="V169">
        <v>4326844272</v>
      </c>
      <c r="W169" s="1">
        <v>4660702</v>
      </c>
      <c r="X169">
        <v>25</v>
      </c>
      <c r="Y169">
        <v>25</v>
      </c>
      <c r="Z169">
        <v>2013</v>
      </c>
      <c r="AA169" t="s">
        <v>70</v>
      </c>
      <c r="AB169" t="s">
        <v>2410</v>
      </c>
      <c r="AC169" t="s">
        <v>133</v>
      </c>
      <c r="AD169" t="s">
        <v>119</v>
      </c>
      <c r="AE169">
        <v>1382</v>
      </c>
      <c r="AF169" t="s">
        <v>120</v>
      </c>
      <c r="AI169">
        <v>13820000</v>
      </c>
      <c r="AJ169" t="s">
        <v>119</v>
      </c>
      <c r="AM169">
        <v>213112</v>
      </c>
      <c r="AN169" t="s">
        <v>74</v>
      </c>
      <c r="AQ169" t="s">
        <v>75</v>
      </c>
      <c r="AT169" t="s">
        <v>76</v>
      </c>
      <c r="BF169">
        <v>0</v>
      </c>
      <c r="BG169">
        <v>0</v>
      </c>
      <c r="CK169" s="19">
        <f>IF(BQ169&gt;0,BQ169,W169)</f>
        <v>4660702</v>
      </c>
      <c r="CL169" s="20">
        <f>IF(BS169&gt;0,BS169,Y169)</f>
        <v>25</v>
      </c>
      <c r="CM169" s="34">
        <f>IF(CG169&gt;0,CG169,AM169)</f>
        <v>213112</v>
      </c>
      <c r="CN169" s="80">
        <f>IF($BH169="",1,COUNTIF($BH$3:$BH169,$BH169))</f>
        <v>1</v>
      </c>
      <c r="CP169" t="str">
        <f>IF($K169="Standard Match","Match",IF($K169="Name Only Match",IF($CO169="Yes","Match","Name Only Match"),"No Match"))</f>
        <v>Match</v>
      </c>
      <c r="CQ169" s="35" t="str">
        <f>IF(AND(CP169="Match",CK169&gt;0,CL169&gt;0),"Y","N")</f>
        <v>Y</v>
      </c>
      <c r="CS169" t="str">
        <f>IF($CQ169="Y",VLOOKUP($CM169,'SBA Size Standards'!$B$3:$G$57,MATCH('SBA Size Standards'!$G$3,'SBA Size Standards'!$B$3:$G$3,0),FALSE),"")</f>
        <v>Revenue</v>
      </c>
      <c r="CT169" s="60">
        <f>IF(CQ169="Y",IF($CS169="Employment","N/A",VLOOKUP($CM169,'SBA Size Standards'!$B$3:$G$57,MATCH('SBA Size Standards'!$E$3,'SBA Size Standards'!$B$3:$G$3,0),FALSE)),"")</f>
        <v>41500000</v>
      </c>
      <c r="CU169" s="86" t="str">
        <f>IF($CQ169="Y",IF($CS169="Revenue","N/A",VLOOKUP($CM169,'SBA Size Standards'!$B$3:$G$57,MATCH('SBA Size Standards'!$F$3,'SBA Size Standards'!$B$3:$G$3,0),FALSE)),"")</f>
        <v>N/A</v>
      </c>
      <c r="CV169" t="str">
        <f>IF($CQ169="Y",IF(OR(AND($CS169="Employment",$CL169&lt;$CU169),AND($CS169="Revenue",$CK169&lt;$CT169)),"YES","NO"),"")</f>
        <v>YES</v>
      </c>
      <c r="CW169" s="90" t="str">
        <f>IF($CQ169="Y",INDEX('SBA Size Standards'!$N$3:$N$12,MATCH($CK169,'SBA Size Standards'!$O$3:$O$12,1)),"")</f>
        <v>$1,000,001 - $5,000,000</v>
      </c>
      <c r="CX169" s="122" t="s">
        <v>4880</v>
      </c>
      <c r="CY169" s="122">
        <f>INDEX('NM O&amp;G Production'!$P$3:$P$537,MATCH(CX169,'NM O&amp;G Production'!$Q$3:$Q$537,0))</f>
        <v>343</v>
      </c>
      <c r="CZ169" s="122" t="str">
        <f>INDEX('NM O&amp;G Production'!$O$3:$O$537,MATCH(CY169,'NM O&amp;G Production'!$P$3:$P$537,0))</f>
        <v>No</v>
      </c>
      <c r="DA169" s="127">
        <f>INDEX('NM O&amp;G Production'!$K$3:$O$537,MATCH($CY169,'NM O&amp;G Production'!$P$3:$P$537,0),MATCH(DA$2,'NM O&amp;G Production'!$K$2:$O$2,0))</f>
        <v>0</v>
      </c>
      <c r="DB169" s="127">
        <f>INDEX('NM O&amp;G Production'!$K$3:$O$537,MATCH($CY169,'NM O&amp;G Production'!$P$3:$P$537,0),MATCH(DB$2,'NM O&amp;G Production'!$K$2:$O$2,0))</f>
        <v>0</v>
      </c>
      <c r="DC169" s="127"/>
      <c r="DD169" s="127">
        <f>INDEX('NM O&amp;G Production'!$K$3:$O$537,MATCH($CY169,'NM O&amp;G Production'!$P$3:$P$537,0),MATCH(DD$2,'NM O&amp;G Production'!$K$2:$O$2,0))</f>
        <v>0</v>
      </c>
      <c r="DE169" s="127">
        <f>INDEX('NM O&amp;G Production'!$K$3:$O$537,MATCH($CY169,'NM O&amp;G Production'!$P$3:$P$537,0),MATCH(DE$2,'NM O&amp;G Production'!$K$2:$O$2,0))</f>
        <v>0</v>
      </c>
      <c r="DF169" s="258" t="e">
        <f>CK169/(DB169+DA169)</f>
        <v>#DIV/0!</v>
      </c>
      <c r="DG169" s="57">
        <f>DD169*(12/18)*1.06*'Oil and Gas Prices'!$C$18</f>
        <v>0</v>
      </c>
      <c r="DH169" s="284">
        <f>DE169*(12/18)*'Oil and Gas Prices'!$C$4</f>
        <v>0</v>
      </c>
      <c r="DI169" s="284"/>
      <c r="DJ169" s="57" t="e">
        <f>(DG169+DH169)/(DA169+DB169)</f>
        <v>#DIV/0!</v>
      </c>
      <c r="DK169" s="18" t="e">
        <f>CK169/DI169</f>
        <v>#DIV/0!</v>
      </c>
    </row>
    <row r="170" spans="1:115" x14ac:dyDescent="0.25">
      <c r="A170" t="s">
        <v>2471</v>
      </c>
      <c r="B170" t="s">
        <v>2472</v>
      </c>
      <c r="D170" t="s">
        <v>2473</v>
      </c>
      <c r="E170" t="s">
        <v>80</v>
      </c>
      <c r="F170">
        <v>76424</v>
      </c>
      <c r="G170" t="s">
        <v>62</v>
      </c>
      <c r="I170">
        <v>354</v>
      </c>
      <c r="J170" t="s">
        <v>63</v>
      </c>
      <c r="K170" t="s">
        <v>4133</v>
      </c>
      <c r="L170" t="s">
        <v>279</v>
      </c>
      <c r="M170">
        <v>8</v>
      </c>
      <c r="N170" t="s">
        <v>2474</v>
      </c>
      <c r="O170" t="s">
        <v>2475</v>
      </c>
      <c r="P170" t="s">
        <v>2476</v>
      </c>
      <c r="Q170" t="s">
        <v>2477</v>
      </c>
      <c r="R170" t="s">
        <v>2473</v>
      </c>
      <c r="S170" t="s">
        <v>94</v>
      </c>
      <c r="T170" t="s">
        <v>2478</v>
      </c>
      <c r="U170" t="s">
        <v>62</v>
      </c>
      <c r="V170">
        <v>2545595453</v>
      </c>
      <c r="W170" s="1">
        <v>4636118</v>
      </c>
      <c r="X170">
        <v>35</v>
      </c>
      <c r="Y170">
        <v>35</v>
      </c>
      <c r="Z170">
        <v>2001</v>
      </c>
      <c r="AA170" t="s">
        <v>70</v>
      </c>
      <c r="AB170" t="s">
        <v>2479</v>
      </c>
      <c r="AC170" t="s">
        <v>98</v>
      </c>
      <c r="AD170" t="s">
        <v>119</v>
      </c>
      <c r="AE170">
        <v>1382</v>
      </c>
      <c r="AF170" t="s">
        <v>120</v>
      </c>
      <c r="AI170">
        <v>13820000</v>
      </c>
      <c r="AJ170" t="s">
        <v>119</v>
      </c>
      <c r="AM170">
        <v>213112</v>
      </c>
      <c r="AN170" t="s">
        <v>74</v>
      </c>
      <c r="AQ170" t="s">
        <v>75</v>
      </c>
      <c r="AT170" t="s">
        <v>76</v>
      </c>
      <c r="BF170">
        <v>0</v>
      </c>
      <c r="BG170">
        <v>0</v>
      </c>
      <c r="CK170" s="19">
        <f>IF(BQ170&gt;0,BQ170,W170)</f>
        <v>4636118</v>
      </c>
      <c r="CL170" s="20">
        <f>IF(BS170&gt;0,BS170,Y170)</f>
        <v>35</v>
      </c>
      <c r="CM170" s="34">
        <f>IF(CG170&gt;0,CG170,AM170)</f>
        <v>213112</v>
      </c>
      <c r="CN170" s="80">
        <f>IF($BH170="",1,COUNTIF($BH$3:$BH170,$BH170))</f>
        <v>1</v>
      </c>
      <c r="CP170" t="str">
        <f>IF($K170="Standard Match","Match",IF($K170="Name Only Match",IF($CO170="Yes","Match","Name Only Match"),"No Match"))</f>
        <v>Match</v>
      </c>
      <c r="CQ170" s="35" t="str">
        <f>IF(AND(CP170="Match",CK170&gt;0,CL170&gt;0),"Y","N")</f>
        <v>Y</v>
      </c>
      <c r="CS170" t="str">
        <f>IF($CQ170="Y",VLOOKUP($CM170,'SBA Size Standards'!$B$3:$G$57,MATCH('SBA Size Standards'!$G$3,'SBA Size Standards'!$B$3:$G$3,0),FALSE),"")</f>
        <v>Revenue</v>
      </c>
      <c r="CT170" s="60">
        <f>IF(CQ170="Y",IF($CS170="Employment","N/A",VLOOKUP($CM170,'SBA Size Standards'!$B$3:$G$57,MATCH('SBA Size Standards'!$E$3,'SBA Size Standards'!$B$3:$G$3,0),FALSE)),"")</f>
        <v>41500000</v>
      </c>
      <c r="CU170" s="86" t="str">
        <f>IF($CQ170="Y",IF($CS170="Revenue","N/A",VLOOKUP($CM170,'SBA Size Standards'!$B$3:$G$57,MATCH('SBA Size Standards'!$F$3,'SBA Size Standards'!$B$3:$G$3,0),FALSE)),"")</f>
        <v>N/A</v>
      </c>
      <c r="CV170" t="str">
        <f>IF($CQ170="Y",IF(OR(AND($CS170="Employment",$CL170&lt;$CU170),AND($CS170="Revenue",$CK170&lt;$CT170)),"YES","NO"),"")</f>
        <v>YES</v>
      </c>
      <c r="CW170" s="90" t="str">
        <f>IF($CQ170="Y",INDEX('SBA Size Standards'!$N$3:$N$12,MATCH($CK170,'SBA Size Standards'!$O$3:$O$12,1)),"")</f>
        <v>$1,000,001 - $5,000,000</v>
      </c>
      <c r="CX170" s="122" t="s">
        <v>4883</v>
      </c>
      <c r="CY170" s="122">
        <f>INDEX('NM O&amp;G Production'!$P$3:$P$537,MATCH(CX170,'NM O&amp;G Production'!$Q$3:$Q$537,0))</f>
        <v>354</v>
      </c>
      <c r="CZ170" s="122" t="str">
        <f>INDEX('NM O&amp;G Production'!$O$3:$O$537,MATCH(CY170,'NM O&amp;G Production'!$P$3:$P$537,0))</f>
        <v>Yes</v>
      </c>
      <c r="DA170" s="127">
        <f>INDEX('NM O&amp;G Production'!$K$3:$O$537,MATCH($CY170,'NM O&amp;G Production'!$P$3:$P$537,0),MATCH(DA$2,'NM O&amp;G Production'!$K$2:$O$2,0))</f>
        <v>12</v>
      </c>
      <c r="DB170" s="127">
        <f>INDEX('NM O&amp;G Production'!$K$3:$O$537,MATCH($CY170,'NM O&amp;G Production'!$P$3:$P$537,0),MATCH(DB$2,'NM O&amp;G Production'!$K$2:$O$2,0))</f>
        <v>75</v>
      </c>
      <c r="DC170" s="127">
        <f>DA170+DB170</f>
        <v>87</v>
      </c>
      <c r="DD170" s="127">
        <f>INDEX('NM O&amp;G Production'!$K$3:$O$537,MATCH($CY170,'NM O&amp;G Production'!$P$3:$P$537,0),MATCH(DD$2,'NM O&amp;G Production'!$K$2:$O$2,0))</f>
        <v>609704</v>
      </c>
      <c r="DE170" s="127">
        <f>INDEX('NM O&amp;G Production'!$K$3:$O$537,MATCH($CY170,'NM O&amp;G Production'!$P$3:$P$537,0),MATCH(DE$2,'NM O&amp;G Production'!$K$2:$O$2,0))</f>
        <v>65548</v>
      </c>
      <c r="DF170" s="258">
        <f>CK170/(DB170+DA170)</f>
        <v>53288.712643678162</v>
      </c>
      <c r="DG170" s="57">
        <f>DD170*(12/18)*1.06*'Oil and Gas Prices'!$C$18</f>
        <v>1029749.4090666667</v>
      </c>
      <c r="DH170" s="284">
        <f>DE170*(12/18)*'Oil and Gas Prices'!$C$4</f>
        <v>1966440</v>
      </c>
      <c r="DI170" s="284">
        <f>DG170+DH170</f>
        <v>2996189.4090666668</v>
      </c>
      <c r="DJ170" s="57">
        <f>(DG170+DH170)/(DA170+DB170)</f>
        <v>34438.958724904216</v>
      </c>
      <c r="DK170" s="320"/>
    </row>
    <row r="171" spans="1:115" x14ac:dyDescent="0.25">
      <c r="A171" t="s">
        <v>1570</v>
      </c>
      <c r="B171" t="s">
        <v>1571</v>
      </c>
      <c r="D171" t="s">
        <v>88</v>
      </c>
      <c r="E171" t="s">
        <v>80</v>
      </c>
      <c r="F171">
        <v>76102</v>
      </c>
      <c r="G171" t="s">
        <v>62</v>
      </c>
      <c r="I171">
        <v>213</v>
      </c>
      <c r="J171" t="s">
        <v>392</v>
      </c>
      <c r="K171" t="s">
        <v>4133</v>
      </c>
      <c r="L171" t="s">
        <v>113</v>
      </c>
      <c r="M171">
        <v>8</v>
      </c>
      <c r="N171" t="s">
        <v>1572</v>
      </c>
      <c r="O171" t="s">
        <v>1573</v>
      </c>
      <c r="P171" t="s">
        <v>1574</v>
      </c>
      <c r="Q171" t="s">
        <v>1575</v>
      </c>
      <c r="R171" t="s">
        <v>88</v>
      </c>
      <c r="S171" t="s">
        <v>94</v>
      </c>
      <c r="T171" t="s">
        <v>1576</v>
      </c>
      <c r="U171" t="s">
        <v>62</v>
      </c>
      <c r="V171">
        <v>8173367109</v>
      </c>
      <c r="W171" s="1">
        <v>4616297</v>
      </c>
      <c r="X171">
        <v>5</v>
      </c>
      <c r="Y171">
        <v>8</v>
      </c>
      <c r="Z171">
        <v>1960</v>
      </c>
      <c r="AA171" t="s">
        <v>163</v>
      </c>
      <c r="AB171" t="s">
        <v>1577</v>
      </c>
      <c r="AC171" t="s">
        <v>98</v>
      </c>
      <c r="AD171" t="s">
        <v>99</v>
      </c>
      <c r="AE171">
        <v>1311</v>
      </c>
      <c r="AF171" t="s">
        <v>100</v>
      </c>
      <c r="AI171">
        <v>13110101</v>
      </c>
      <c r="AJ171" t="s">
        <v>102</v>
      </c>
      <c r="AM171">
        <v>211120</v>
      </c>
      <c r="AN171" t="s">
        <v>104</v>
      </c>
      <c r="AQ171" t="s">
        <v>75</v>
      </c>
      <c r="AR171" t="s">
        <v>1572</v>
      </c>
      <c r="AS171" t="s">
        <v>1573</v>
      </c>
      <c r="AT171" t="s">
        <v>427</v>
      </c>
      <c r="AU171" t="s">
        <v>80</v>
      </c>
      <c r="AV171" t="s">
        <v>62</v>
      </c>
      <c r="AW171" t="s">
        <v>1572</v>
      </c>
      <c r="AX171" t="s">
        <v>1573</v>
      </c>
      <c r="AY171" t="s">
        <v>80</v>
      </c>
      <c r="AZ171" t="s">
        <v>62</v>
      </c>
      <c r="BE171" t="s">
        <v>62</v>
      </c>
      <c r="BF171">
        <v>1</v>
      </c>
      <c r="BG171">
        <v>2</v>
      </c>
      <c r="BH171" s="4" t="s">
        <v>1572</v>
      </c>
      <c r="BI171" s="4" t="s">
        <v>1573</v>
      </c>
      <c r="BJ171" s="4" t="s">
        <v>1574</v>
      </c>
      <c r="BK171" s="4" t="s">
        <v>1575</v>
      </c>
      <c r="BL171" s="4" t="s">
        <v>88</v>
      </c>
      <c r="BM171" s="4" t="s">
        <v>94</v>
      </c>
      <c r="BN171" s="4" t="s">
        <v>1576</v>
      </c>
      <c r="BO171" s="4" t="s">
        <v>62</v>
      </c>
      <c r="BP171" s="4">
        <v>8173367109</v>
      </c>
      <c r="BQ171" s="5">
        <v>4616297</v>
      </c>
      <c r="BR171" s="4">
        <v>5</v>
      </c>
      <c r="BS171" s="4">
        <v>8</v>
      </c>
      <c r="BT171" s="4">
        <v>1960</v>
      </c>
      <c r="BU171" s="4" t="s">
        <v>163</v>
      </c>
      <c r="BV171" s="4" t="s">
        <v>1577</v>
      </c>
      <c r="BW171" s="4" t="s">
        <v>98</v>
      </c>
      <c r="BX171" s="4" t="s">
        <v>99</v>
      </c>
      <c r="BY171" s="4">
        <v>1311</v>
      </c>
      <c r="BZ171" s="4" t="s">
        <v>100</v>
      </c>
      <c r="CC171" s="4">
        <v>13110101</v>
      </c>
      <c r="CD171" s="4" t="s">
        <v>102</v>
      </c>
      <c r="CG171" s="4">
        <v>211120</v>
      </c>
      <c r="CH171" s="4" t="s">
        <v>104</v>
      </c>
      <c r="CK171" s="19">
        <f>IF(BQ171&gt;0,BQ171,W171)</f>
        <v>4616297</v>
      </c>
      <c r="CL171" s="20">
        <f>IF(BS171&gt;0,BS171,Y171)</f>
        <v>8</v>
      </c>
      <c r="CM171" s="34">
        <f>IF(CG171&gt;0,CG171,AM171)</f>
        <v>211120</v>
      </c>
      <c r="CN171" s="80">
        <f>IF($BH171="",1,COUNTIF($BH$3:$BH171,$BH171))</f>
        <v>1</v>
      </c>
      <c r="CP171" t="str">
        <f>IF($K171="Standard Match","Match",IF($K171="Name Only Match",IF($CO171="Yes","Match","Name Only Match"),"No Match"))</f>
        <v>Match</v>
      </c>
      <c r="CQ171" s="35" t="str">
        <f>IF(AND(CP171="Match",CK171&gt;0,CL171&gt;0),"Y","N")</f>
        <v>Y</v>
      </c>
      <c r="CS171" t="str">
        <f>IF($CQ171="Y",VLOOKUP($CM171,'SBA Size Standards'!$B$3:$G$57,MATCH('SBA Size Standards'!$G$3,'SBA Size Standards'!$B$3:$G$3,0),FALSE),"")</f>
        <v>Employment</v>
      </c>
      <c r="CT171" s="60" t="str">
        <f>IF(CQ171="Y",IF($CS171="Employment","N/A",VLOOKUP($CM171,'SBA Size Standards'!$B$3:$G$57,MATCH('SBA Size Standards'!$E$3,'SBA Size Standards'!$B$3:$G$3,0),FALSE)),"")</f>
        <v>N/A</v>
      </c>
      <c r="CU171" s="86">
        <f>IF($CQ171="Y",IF($CS171="Revenue","N/A",VLOOKUP($CM171,'SBA Size Standards'!$B$3:$G$57,MATCH('SBA Size Standards'!$F$3,'SBA Size Standards'!$B$3:$G$3,0),FALSE)),"")</f>
        <v>1250</v>
      </c>
      <c r="CV171" t="str">
        <f>IF($CQ171="Y",IF(OR(AND($CS171="Employment",$CL171&lt;$CU171),AND($CS171="Revenue",$CK171&lt;$CT171)),"YES","NO"),"")</f>
        <v>YES</v>
      </c>
      <c r="CW171" s="90" t="str">
        <f>IF($CQ171="Y",INDEX('SBA Size Standards'!$N$3:$N$12,MATCH($CK171,'SBA Size Standards'!$O$3:$O$12,1)),"")</f>
        <v>$1,000,001 - $5,000,000</v>
      </c>
      <c r="CX171" s="122" t="s">
        <v>4849</v>
      </c>
      <c r="CY171" s="122">
        <f>INDEX('NM O&amp;G Production'!$P$3:$P$537,MATCH(CX171,'NM O&amp;G Production'!$Q$3:$Q$537,0))</f>
        <v>213</v>
      </c>
      <c r="CZ171" s="122" t="str">
        <f>INDEX('NM O&amp;G Production'!$O$3:$O$537,MATCH(CY171,'NM O&amp;G Production'!$P$3:$P$537,0))</f>
        <v>Yes</v>
      </c>
      <c r="DA171" s="127">
        <f>INDEX('NM O&amp;G Production'!$K$3:$O$537,MATCH($CY171,'NM O&amp;G Production'!$P$3:$P$537,0),MATCH(DA$2,'NM O&amp;G Production'!$K$2:$O$2,0))</f>
        <v>0</v>
      </c>
      <c r="DB171" s="127">
        <f>INDEX('NM O&amp;G Production'!$K$3:$O$537,MATCH($CY171,'NM O&amp;G Production'!$P$3:$P$537,0),MATCH(DB$2,'NM O&amp;G Production'!$K$2:$O$2,0))</f>
        <v>67</v>
      </c>
      <c r="DC171" s="127">
        <f>DA171+DB171</f>
        <v>67</v>
      </c>
      <c r="DD171" s="127">
        <f>INDEX('NM O&amp;G Production'!$K$3:$O$537,MATCH($CY171,'NM O&amp;G Production'!$P$3:$P$537,0),MATCH(DD$2,'NM O&amp;G Production'!$K$2:$O$2,0))</f>
        <v>122351</v>
      </c>
      <c r="DE171" s="127">
        <f>INDEX('NM O&amp;G Production'!$K$3:$O$537,MATCH($CY171,'NM O&amp;G Production'!$P$3:$P$537,0),MATCH(DE$2,'NM O&amp;G Production'!$K$2:$O$2,0))</f>
        <v>49210</v>
      </c>
      <c r="DF171" s="258">
        <f>CK171/(DB171+DA171)</f>
        <v>68899.955223880592</v>
      </c>
      <c r="DG171" s="57">
        <f>DD171*(12/18)*1.06*'Oil and Gas Prices'!$C$18</f>
        <v>206642.6822666667</v>
      </c>
      <c r="DH171" s="284">
        <f>DE171*(12/18)*'Oil and Gas Prices'!$C$4</f>
        <v>1476300</v>
      </c>
      <c r="DI171" s="284">
        <f>DG171+DH171</f>
        <v>1682942.6822666668</v>
      </c>
      <c r="DJ171" s="57">
        <f>(DG171+DH171)/(DA171+DB171)</f>
        <v>25118.547496517414</v>
      </c>
      <c r="DK171" s="319"/>
    </row>
    <row r="172" spans="1:115" x14ac:dyDescent="0.25">
      <c r="A172" t="s">
        <v>2028</v>
      </c>
      <c r="B172" t="s">
        <v>2029</v>
      </c>
      <c r="D172" t="s">
        <v>2030</v>
      </c>
      <c r="E172" t="s">
        <v>84</v>
      </c>
      <c r="F172">
        <v>87502</v>
      </c>
      <c r="G172" t="s">
        <v>62</v>
      </c>
      <c r="I172">
        <v>285</v>
      </c>
      <c r="J172" t="s">
        <v>63</v>
      </c>
      <c r="K172" t="s">
        <v>4133</v>
      </c>
      <c r="L172" t="s">
        <v>149</v>
      </c>
      <c r="M172">
        <v>10</v>
      </c>
      <c r="N172" t="s">
        <v>2031</v>
      </c>
      <c r="O172" t="s">
        <v>2032</v>
      </c>
      <c r="P172" t="s">
        <v>2033</v>
      </c>
      <c r="Q172" t="s">
        <v>2034</v>
      </c>
      <c r="R172" t="s">
        <v>2030</v>
      </c>
      <c r="S172" t="s">
        <v>214</v>
      </c>
      <c r="T172" t="s">
        <v>2035</v>
      </c>
      <c r="U172" t="s">
        <v>62</v>
      </c>
      <c r="V172">
        <v>5059891977</v>
      </c>
      <c r="W172" s="1">
        <v>4600000</v>
      </c>
      <c r="X172">
        <v>7</v>
      </c>
      <c r="Y172">
        <v>7</v>
      </c>
      <c r="Z172">
        <v>1960</v>
      </c>
      <c r="AA172" t="s">
        <v>70</v>
      </c>
      <c r="AB172" t="s">
        <v>2036</v>
      </c>
      <c r="AC172" t="s">
        <v>98</v>
      </c>
      <c r="AD172" t="s">
        <v>99</v>
      </c>
      <c r="AE172">
        <v>1311</v>
      </c>
      <c r="AF172" t="s">
        <v>100</v>
      </c>
      <c r="AI172">
        <v>13110101</v>
      </c>
      <c r="AJ172" t="s">
        <v>102</v>
      </c>
      <c r="AM172">
        <v>211120</v>
      </c>
      <c r="AN172" t="s">
        <v>104</v>
      </c>
      <c r="AQ172" t="s">
        <v>75</v>
      </c>
      <c r="AT172" t="s">
        <v>76</v>
      </c>
      <c r="BF172">
        <v>0</v>
      </c>
      <c r="BG172">
        <v>0</v>
      </c>
      <c r="CK172" s="19">
        <f>IF(BQ172&gt;0,BQ172,W172)</f>
        <v>4600000</v>
      </c>
      <c r="CL172" s="20">
        <f>IF(BS172&gt;0,BS172,Y172)</f>
        <v>7</v>
      </c>
      <c r="CM172" s="34">
        <f>IF(CG172&gt;0,CG172,AM172)</f>
        <v>211120</v>
      </c>
      <c r="CN172" s="80">
        <f>IF($BH172="",1,COUNTIF($BH$3:$BH172,$BH172))</f>
        <v>1</v>
      </c>
      <c r="CP172" t="str">
        <f>IF($K172="Standard Match","Match",IF($K172="Name Only Match",IF($CO172="Yes","Match","Name Only Match"),"No Match"))</f>
        <v>Match</v>
      </c>
      <c r="CQ172" s="35" t="str">
        <f>IF(AND(CP172="Match",CK172&gt;0,CL172&gt;0),"Y","N")</f>
        <v>Y</v>
      </c>
      <c r="CS172" t="str">
        <f>IF($CQ172="Y",VLOOKUP($CM172,'SBA Size Standards'!$B$3:$G$57,MATCH('SBA Size Standards'!$G$3,'SBA Size Standards'!$B$3:$G$3,0),FALSE),"")</f>
        <v>Employment</v>
      </c>
      <c r="CT172" s="60" t="str">
        <f>IF(CQ172="Y",IF($CS172="Employment","N/A",VLOOKUP($CM172,'SBA Size Standards'!$B$3:$G$57,MATCH('SBA Size Standards'!$E$3,'SBA Size Standards'!$B$3:$G$3,0),FALSE)),"")</f>
        <v>N/A</v>
      </c>
      <c r="CU172" s="86">
        <f>IF($CQ172="Y",IF($CS172="Revenue","N/A",VLOOKUP($CM172,'SBA Size Standards'!$B$3:$G$57,MATCH('SBA Size Standards'!$F$3,'SBA Size Standards'!$B$3:$G$3,0),FALSE)),"")</f>
        <v>1250</v>
      </c>
      <c r="CV172" t="str">
        <f>IF($CQ172="Y",IF(OR(AND($CS172="Employment",$CL172&lt;$CU172),AND($CS172="Revenue",$CK172&lt;$CT172)),"YES","NO"),"")</f>
        <v>YES</v>
      </c>
      <c r="CW172" s="90" t="str">
        <f>IF($CQ172="Y",INDEX('SBA Size Standards'!$N$3:$N$12,MATCH($CK172,'SBA Size Standards'!$O$3:$O$12,1)),"")</f>
        <v>$1,000,001 - $5,000,000</v>
      </c>
      <c r="CX172" s="122" t="s">
        <v>4667</v>
      </c>
      <c r="CY172" s="122">
        <f>INDEX('NM O&amp;G Production'!$P$3:$P$537,MATCH(CX172,'NM O&amp;G Production'!$Q$3:$Q$537,0))</f>
        <v>285</v>
      </c>
      <c r="CZ172" s="122" t="str">
        <f>INDEX('NM O&amp;G Production'!$O$3:$O$537,MATCH(CY172,'NM O&amp;G Production'!$P$3:$P$537,0))</f>
        <v>Yes</v>
      </c>
      <c r="DA172" s="127">
        <f>INDEX('NM O&amp;G Production'!$K$3:$O$537,MATCH($CY172,'NM O&amp;G Production'!$P$3:$P$537,0),MATCH(DA$2,'NM O&amp;G Production'!$K$2:$O$2,0))</f>
        <v>1</v>
      </c>
      <c r="DB172" s="127">
        <f>INDEX('NM O&amp;G Production'!$K$3:$O$537,MATCH($CY172,'NM O&amp;G Production'!$P$3:$P$537,0),MATCH(DB$2,'NM O&amp;G Production'!$K$2:$O$2,0))</f>
        <v>20</v>
      </c>
      <c r="DC172" s="127">
        <f>DA172+DB172</f>
        <v>21</v>
      </c>
      <c r="DD172" s="127">
        <f>INDEX('NM O&amp;G Production'!$K$3:$O$537,MATCH($CY172,'NM O&amp;G Production'!$P$3:$P$537,0),MATCH(DD$2,'NM O&amp;G Production'!$K$2:$O$2,0))</f>
        <v>3218</v>
      </c>
      <c r="DE172" s="127">
        <f>INDEX('NM O&amp;G Production'!$K$3:$O$537,MATCH($CY172,'NM O&amp;G Production'!$P$3:$P$537,0),MATCH(DE$2,'NM O&amp;G Production'!$K$2:$O$2,0))</f>
        <v>1825</v>
      </c>
      <c r="DF172" s="258">
        <f>CK172/(DB172+DA172)</f>
        <v>219047.61904761905</v>
      </c>
      <c r="DG172" s="57">
        <f>DD172*(12/18)*1.06*'Oil and Gas Prices'!$C$18</f>
        <v>5434.9874666666665</v>
      </c>
      <c r="DH172" s="284">
        <f>DE172*(12/18)*'Oil and Gas Prices'!$C$4</f>
        <v>54749.999999999993</v>
      </c>
      <c r="DI172" s="284">
        <f>DG172+DH172</f>
        <v>60184.987466666658</v>
      </c>
      <c r="DJ172" s="57">
        <f>(DG172+DH172)/(DA172+DB172)</f>
        <v>2865.9517841269835</v>
      </c>
      <c r="DK172" s="319"/>
    </row>
    <row r="173" spans="1:115" x14ac:dyDescent="0.25">
      <c r="A173" t="s">
        <v>704</v>
      </c>
      <c r="B173" t="s">
        <v>705</v>
      </c>
      <c r="D173" t="s">
        <v>153</v>
      </c>
      <c r="E173" t="s">
        <v>80</v>
      </c>
      <c r="F173">
        <v>79710</v>
      </c>
      <c r="G173" t="s">
        <v>62</v>
      </c>
      <c r="I173">
        <v>87</v>
      </c>
      <c r="J173" t="s">
        <v>404</v>
      </c>
      <c r="K173" t="s">
        <v>4133</v>
      </c>
      <c r="L173" t="s">
        <v>279</v>
      </c>
      <c r="M173">
        <v>8</v>
      </c>
      <c r="N173" t="s">
        <v>706</v>
      </c>
      <c r="O173" t="s">
        <v>707</v>
      </c>
      <c r="Q173" t="s">
        <v>708</v>
      </c>
      <c r="R173" t="s">
        <v>153</v>
      </c>
      <c r="S173" t="s">
        <v>94</v>
      </c>
      <c r="T173" t="s">
        <v>709</v>
      </c>
      <c r="U173" t="s">
        <v>62</v>
      </c>
      <c r="V173">
        <v>4326828686</v>
      </c>
      <c r="W173" s="1">
        <v>4500000</v>
      </c>
      <c r="X173">
        <v>10</v>
      </c>
      <c r="Y173">
        <v>10</v>
      </c>
      <c r="AA173" t="s">
        <v>70</v>
      </c>
      <c r="AB173" t="s">
        <v>710</v>
      </c>
      <c r="AC173" t="s">
        <v>145</v>
      </c>
      <c r="AD173" t="s">
        <v>119</v>
      </c>
      <c r="AE173">
        <v>1382</v>
      </c>
      <c r="AF173" t="s">
        <v>120</v>
      </c>
      <c r="AI173">
        <v>13820000</v>
      </c>
      <c r="AJ173" t="s">
        <v>119</v>
      </c>
      <c r="AM173">
        <v>213112</v>
      </c>
      <c r="AN173" t="s">
        <v>74</v>
      </c>
      <c r="AQ173" t="s">
        <v>75</v>
      </c>
      <c r="AT173" t="s">
        <v>76</v>
      </c>
      <c r="BF173">
        <v>0</v>
      </c>
      <c r="BG173">
        <v>0</v>
      </c>
      <c r="CK173" s="19">
        <f>IF(BQ173&gt;0,BQ173,W173)</f>
        <v>4500000</v>
      </c>
      <c r="CL173" s="20">
        <f>IF(BS173&gt;0,BS173,Y173)</f>
        <v>10</v>
      </c>
      <c r="CM173" s="34">
        <f>IF(CG173&gt;0,CG173,AM173)</f>
        <v>213112</v>
      </c>
      <c r="CN173" s="80">
        <f>IF($BH173="",1,COUNTIF($BH$3:$BH173,$BH173))</f>
        <v>1</v>
      </c>
      <c r="CP173" t="str">
        <f>IF($K173="Standard Match","Match",IF($K173="Name Only Match",IF($CO173="Yes","Match","Name Only Match"),"No Match"))</f>
        <v>Match</v>
      </c>
      <c r="CQ173" s="35" t="str">
        <f>IF(AND(CP173="Match",CK173&gt;0,CL173&gt;0),"Y","N")</f>
        <v>Y</v>
      </c>
      <c r="CS173" t="str">
        <f>IF($CQ173="Y",VLOOKUP($CM173,'SBA Size Standards'!$B$3:$G$57,MATCH('SBA Size Standards'!$G$3,'SBA Size Standards'!$B$3:$G$3,0),FALSE),"")</f>
        <v>Revenue</v>
      </c>
      <c r="CT173" s="60">
        <f>IF(CQ173="Y",IF($CS173="Employment","N/A",VLOOKUP($CM173,'SBA Size Standards'!$B$3:$G$57,MATCH('SBA Size Standards'!$E$3,'SBA Size Standards'!$B$3:$G$3,0),FALSE)),"")</f>
        <v>41500000</v>
      </c>
      <c r="CU173" s="86" t="str">
        <f>IF($CQ173="Y",IF($CS173="Revenue","N/A",VLOOKUP($CM173,'SBA Size Standards'!$B$3:$G$57,MATCH('SBA Size Standards'!$F$3,'SBA Size Standards'!$B$3:$G$3,0),FALSE)),"")</f>
        <v>N/A</v>
      </c>
      <c r="CV173" t="str">
        <f>IF($CQ173="Y",IF(OR(AND($CS173="Employment",$CL173&lt;$CU173),AND($CS173="Revenue",$CK173&lt;$CT173)),"YES","NO"),"")</f>
        <v>YES</v>
      </c>
      <c r="CW173" s="90" t="str">
        <f>IF($CQ173="Y",INDEX('SBA Size Standards'!$N$3:$N$12,MATCH($CK173,'SBA Size Standards'!$O$3:$O$12,1)),"")</f>
        <v>$1,000,001 - $5,000,000</v>
      </c>
      <c r="CX173" s="122" t="s">
        <v>4819</v>
      </c>
      <c r="CY173" s="122">
        <f>INDEX('NM O&amp;G Production'!$P$3:$P$537,MATCH(CX173,'NM O&amp;G Production'!$Q$3:$Q$537,0))</f>
        <v>87</v>
      </c>
      <c r="CZ173" s="122" t="str">
        <f>INDEX('NM O&amp;G Production'!$O$3:$O$537,MATCH(CY173,'NM O&amp;G Production'!$P$3:$P$537,0))</f>
        <v>Yes</v>
      </c>
      <c r="DA173" s="127">
        <f>INDEX('NM O&amp;G Production'!$K$3:$O$537,MATCH($CY173,'NM O&amp;G Production'!$P$3:$P$537,0),MATCH(DA$2,'NM O&amp;G Production'!$K$2:$O$2,0))</f>
        <v>0</v>
      </c>
      <c r="DB173" s="127">
        <f>INDEX('NM O&amp;G Production'!$K$3:$O$537,MATCH($CY173,'NM O&amp;G Production'!$P$3:$P$537,0),MATCH(DB$2,'NM O&amp;G Production'!$K$2:$O$2,0))</f>
        <v>1</v>
      </c>
      <c r="DC173" s="127">
        <f>DA173+DB173</f>
        <v>1</v>
      </c>
      <c r="DD173" s="127">
        <f>INDEX('NM O&amp;G Production'!$K$3:$O$537,MATCH($CY173,'NM O&amp;G Production'!$P$3:$P$537,0),MATCH(DD$2,'NM O&amp;G Production'!$K$2:$O$2,0))</f>
        <v>0</v>
      </c>
      <c r="DE173" s="127">
        <f>INDEX('NM O&amp;G Production'!$K$3:$O$537,MATCH($CY173,'NM O&amp;G Production'!$P$3:$P$537,0),MATCH(DE$2,'NM O&amp;G Production'!$K$2:$O$2,0))</f>
        <v>9</v>
      </c>
      <c r="DF173" s="258">
        <f>CK173/(DB173+DA173)</f>
        <v>4500000</v>
      </c>
      <c r="DG173" s="57">
        <f>DD173*(12/18)*1.06*'Oil and Gas Prices'!$C$18</f>
        <v>0</v>
      </c>
      <c r="DH173" s="284">
        <f>DE173*(12/18)*'Oil and Gas Prices'!$C$4</f>
        <v>270</v>
      </c>
      <c r="DI173" s="284">
        <f>DG173+DH173</f>
        <v>270</v>
      </c>
      <c r="DJ173" s="57">
        <f>(DG173+DH173)/(DA173+DB173)</f>
        <v>270</v>
      </c>
      <c r="DK173" s="318"/>
    </row>
    <row r="174" spans="1:115" x14ac:dyDescent="0.25">
      <c r="A174" t="s">
        <v>2129</v>
      </c>
      <c r="B174" t="s">
        <v>2130</v>
      </c>
      <c r="D174" t="s">
        <v>123</v>
      </c>
      <c r="E174" t="s">
        <v>84</v>
      </c>
      <c r="F174">
        <v>87401</v>
      </c>
      <c r="G174" t="s">
        <v>62</v>
      </c>
      <c r="I174">
        <v>302</v>
      </c>
      <c r="J174" t="s">
        <v>63</v>
      </c>
      <c r="K174" t="s">
        <v>4133</v>
      </c>
      <c r="L174" t="s">
        <v>64</v>
      </c>
      <c r="M174">
        <v>10</v>
      </c>
      <c r="N174" t="s">
        <v>2131</v>
      </c>
      <c r="O174" t="s">
        <v>2132</v>
      </c>
      <c r="Q174" t="s">
        <v>2133</v>
      </c>
      <c r="R174" t="s">
        <v>123</v>
      </c>
      <c r="S174" t="s">
        <v>214</v>
      </c>
      <c r="T174" t="s">
        <v>2134</v>
      </c>
      <c r="U174" t="s">
        <v>62</v>
      </c>
      <c r="V174">
        <v>5053245300</v>
      </c>
      <c r="W174" s="1">
        <v>4407892</v>
      </c>
      <c r="X174">
        <v>40</v>
      </c>
      <c r="Y174">
        <v>43</v>
      </c>
      <c r="Z174">
        <v>1974</v>
      </c>
      <c r="AA174" t="s">
        <v>163</v>
      </c>
      <c r="AB174" t="s">
        <v>2135</v>
      </c>
      <c r="AC174" t="s">
        <v>923</v>
      </c>
      <c r="AD174" t="s">
        <v>99</v>
      </c>
      <c r="AE174">
        <v>1311</v>
      </c>
      <c r="AF174" t="s">
        <v>100</v>
      </c>
      <c r="AI174">
        <v>13110101</v>
      </c>
      <c r="AJ174" t="s">
        <v>102</v>
      </c>
      <c r="AM174">
        <v>211120</v>
      </c>
      <c r="AN174" t="s">
        <v>104</v>
      </c>
      <c r="AQ174" t="s">
        <v>75</v>
      </c>
      <c r="AR174" t="s">
        <v>2131</v>
      </c>
      <c r="AS174" t="s">
        <v>2132</v>
      </c>
      <c r="AT174" t="s">
        <v>427</v>
      </c>
      <c r="AU174" t="s">
        <v>84</v>
      </c>
      <c r="AV174" t="s">
        <v>62</v>
      </c>
      <c r="AW174" t="s">
        <v>2131</v>
      </c>
      <c r="AX174" t="s">
        <v>2132</v>
      </c>
      <c r="AY174" t="s">
        <v>84</v>
      </c>
      <c r="AZ174" t="s">
        <v>62</v>
      </c>
      <c r="BE174" t="s">
        <v>62</v>
      </c>
      <c r="BF174">
        <v>1</v>
      </c>
      <c r="BG174">
        <v>2</v>
      </c>
      <c r="BH174" s="4" t="s">
        <v>2131</v>
      </c>
      <c r="BI174" s="4" t="s">
        <v>2132</v>
      </c>
      <c r="BK174" s="4" t="s">
        <v>2133</v>
      </c>
      <c r="BL174" s="4" t="s">
        <v>123</v>
      </c>
      <c r="BM174" s="4" t="s">
        <v>214</v>
      </c>
      <c r="BN174" s="4" t="s">
        <v>2134</v>
      </c>
      <c r="BO174" s="4" t="s">
        <v>62</v>
      </c>
      <c r="BP174" s="4">
        <v>5053245300</v>
      </c>
      <c r="BQ174" s="5">
        <v>4407892</v>
      </c>
      <c r="BR174" s="4">
        <v>40</v>
      </c>
      <c r="BS174" s="4">
        <v>43</v>
      </c>
      <c r="BT174" s="4">
        <v>1974</v>
      </c>
      <c r="BU174" s="4" t="s">
        <v>163</v>
      </c>
      <c r="BV174" s="4" t="s">
        <v>2135</v>
      </c>
      <c r="BW174" s="4" t="s">
        <v>923</v>
      </c>
      <c r="BX174" s="4" t="s">
        <v>99</v>
      </c>
      <c r="BY174" s="4">
        <v>1311</v>
      </c>
      <c r="BZ174" s="4" t="s">
        <v>100</v>
      </c>
      <c r="CC174" s="4">
        <v>13110101</v>
      </c>
      <c r="CD174" s="4" t="s">
        <v>102</v>
      </c>
      <c r="CG174" s="4">
        <v>211120</v>
      </c>
      <c r="CH174" s="4" t="s">
        <v>104</v>
      </c>
      <c r="CK174" s="19">
        <f>IF(BQ174&gt;0,BQ174,W174)</f>
        <v>4407892</v>
      </c>
      <c r="CL174" s="20">
        <f>IF(BS174&gt;0,BS174,Y174)</f>
        <v>43</v>
      </c>
      <c r="CM174" s="34">
        <f>IF(CG174&gt;0,CG174,AM174)</f>
        <v>211120</v>
      </c>
      <c r="CN174" s="80">
        <f>IF($BH174="",1,COUNTIF($BH$3:$BH174,$BH174))</f>
        <v>1</v>
      </c>
      <c r="CP174" t="str">
        <f>IF($K174="Standard Match","Match",IF($K174="Name Only Match",IF($CO174="Yes","Match","Name Only Match"),"No Match"))</f>
        <v>Match</v>
      </c>
      <c r="CQ174" s="35" t="str">
        <f>IF(AND(CP174="Match",CK174&gt;0,CL174&gt;0),"Y","N")</f>
        <v>Y</v>
      </c>
      <c r="CS174" t="str">
        <f>IF($CQ174="Y",VLOOKUP($CM174,'SBA Size Standards'!$B$3:$G$57,MATCH('SBA Size Standards'!$G$3,'SBA Size Standards'!$B$3:$G$3,0),FALSE),"")</f>
        <v>Employment</v>
      </c>
      <c r="CT174" s="60" t="str">
        <f>IF(CQ174="Y",IF($CS174="Employment","N/A",VLOOKUP($CM174,'SBA Size Standards'!$B$3:$G$57,MATCH('SBA Size Standards'!$E$3,'SBA Size Standards'!$B$3:$G$3,0),FALSE)),"")</f>
        <v>N/A</v>
      </c>
      <c r="CU174" s="86">
        <f>IF($CQ174="Y",IF($CS174="Revenue","N/A",VLOOKUP($CM174,'SBA Size Standards'!$B$3:$G$57,MATCH('SBA Size Standards'!$F$3,'SBA Size Standards'!$B$3:$G$3,0),FALSE)),"")</f>
        <v>1250</v>
      </c>
      <c r="CV174" t="str">
        <f>IF($CQ174="Y",IF(OR(AND($CS174="Employment",$CL174&lt;$CU174),AND($CS174="Revenue",$CK174&lt;$CT174)),"YES","NO"),"")</f>
        <v>YES</v>
      </c>
      <c r="CW174" s="90" t="str">
        <f>IF($CQ174="Y",INDEX('SBA Size Standards'!$N$3:$N$12,MATCH($CK174,'SBA Size Standards'!$O$3:$O$12,1)),"")</f>
        <v>$1,000,001 - $5,000,000</v>
      </c>
      <c r="CX174" s="122" t="s">
        <v>4678</v>
      </c>
      <c r="CY174" s="122">
        <f>INDEX('NM O&amp;G Production'!$P$3:$P$537,MATCH(CX174,'NM O&amp;G Production'!$Q$3:$Q$537,0))</f>
        <v>302</v>
      </c>
      <c r="CZ174" s="122" t="str">
        <f>INDEX('NM O&amp;G Production'!$O$3:$O$537,MATCH(CY174,'NM O&amp;G Production'!$P$3:$P$537,0))</f>
        <v>Yes</v>
      </c>
      <c r="DA174" s="127">
        <f>INDEX('NM O&amp;G Production'!$K$3:$O$537,MATCH($CY174,'NM O&amp;G Production'!$P$3:$P$537,0),MATCH(DA$2,'NM O&amp;G Production'!$K$2:$O$2,0))</f>
        <v>27</v>
      </c>
      <c r="DB174" s="127">
        <f>INDEX('NM O&amp;G Production'!$K$3:$O$537,MATCH($CY174,'NM O&amp;G Production'!$P$3:$P$537,0),MATCH(DB$2,'NM O&amp;G Production'!$K$2:$O$2,0))</f>
        <v>39</v>
      </c>
      <c r="DC174" s="127">
        <f>DA174+DB174</f>
        <v>66</v>
      </c>
      <c r="DD174" s="127">
        <f>INDEX('NM O&amp;G Production'!$K$3:$O$537,MATCH($CY174,'NM O&amp;G Production'!$P$3:$P$537,0),MATCH(DD$2,'NM O&amp;G Production'!$K$2:$O$2,0))</f>
        <v>2201619</v>
      </c>
      <c r="DE174" s="127">
        <f>INDEX('NM O&amp;G Production'!$K$3:$O$537,MATCH($CY174,'NM O&amp;G Production'!$P$3:$P$537,0),MATCH(DE$2,'NM O&amp;G Production'!$K$2:$O$2,0))</f>
        <v>21207</v>
      </c>
      <c r="DF174" s="258">
        <f>CK174/(DB174+DA174)</f>
        <v>66786.242424242431</v>
      </c>
      <c r="DG174" s="57">
        <f>DD174*(12/18)*1.06*'Oil and Gas Prices'!$C$18</f>
        <v>3718387.7164000003</v>
      </c>
      <c r="DH174" s="284">
        <f>DE174*(12/18)*'Oil and Gas Prices'!$C$4</f>
        <v>636210</v>
      </c>
      <c r="DI174" s="284">
        <f>DG174+DH174</f>
        <v>4354597.7164000003</v>
      </c>
      <c r="DJ174" s="57">
        <f>(DG174+DH174)/(DA174+DB174)</f>
        <v>65978.753278787888</v>
      </c>
      <c r="DK174" s="319"/>
    </row>
    <row r="175" spans="1:115" x14ac:dyDescent="0.25">
      <c r="A175" t="s">
        <v>600</v>
      </c>
      <c r="B175" t="s">
        <v>601</v>
      </c>
      <c r="D175" t="s">
        <v>602</v>
      </c>
      <c r="E175" t="s">
        <v>603</v>
      </c>
      <c r="F175">
        <v>76180</v>
      </c>
      <c r="G175" t="s">
        <v>62</v>
      </c>
      <c r="I175">
        <v>74</v>
      </c>
      <c r="J175" t="s">
        <v>63</v>
      </c>
      <c r="K175" t="s">
        <v>4133</v>
      </c>
      <c r="L175" t="s">
        <v>64</v>
      </c>
      <c r="M175">
        <v>10</v>
      </c>
      <c r="N175" t="s">
        <v>604</v>
      </c>
      <c r="O175" t="s">
        <v>605</v>
      </c>
      <c r="Q175" t="s">
        <v>606</v>
      </c>
      <c r="R175" t="s">
        <v>88</v>
      </c>
      <c r="S175" t="s">
        <v>94</v>
      </c>
      <c r="T175" t="s">
        <v>607</v>
      </c>
      <c r="U175" t="s">
        <v>62</v>
      </c>
      <c r="V175">
        <v>8174792370</v>
      </c>
      <c r="W175" s="1">
        <v>4205649</v>
      </c>
      <c r="X175">
        <v>19</v>
      </c>
      <c r="Y175">
        <v>19</v>
      </c>
      <c r="Z175">
        <v>2010</v>
      </c>
      <c r="AA175" t="s">
        <v>70</v>
      </c>
      <c r="AB175" t="s">
        <v>608</v>
      </c>
      <c r="AC175" t="s">
        <v>98</v>
      </c>
      <c r="AD175" t="s">
        <v>505</v>
      </c>
      <c r="AE175">
        <v>8742</v>
      </c>
      <c r="AF175" t="s">
        <v>506</v>
      </c>
      <c r="AI175">
        <v>87420500</v>
      </c>
      <c r="AJ175" t="s">
        <v>538</v>
      </c>
      <c r="AM175">
        <v>541611</v>
      </c>
      <c r="AN175" t="s">
        <v>510</v>
      </c>
      <c r="AQ175" t="s">
        <v>75</v>
      </c>
      <c r="AT175" t="s">
        <v>76</v>
      </c>
      <c r="BF175">
        <v>0</v>
      </c>
      <c r="BG175">
        <v>0</v>
      </c>
      <c r="CK175" s="19">
        <f>IF(BQ175&gt;0,BQ175,W175)</f>
        <v>4205649</v>
      </c>
      <c r="CL175" s="20">
        <f>IF(BS175&gt;0,BS175,Y175)</f>
        <v>19</v>
      </c>
      <c r="CM175" s="34">
        <f>IF(CG175&gt;0,CG175,AM175)</f>
        <v>541611</v>
      </c>
      <c r="CN175" s="80">
        <f>IF($BH175="",1,COUNTIF($BH$3:$BH175,$BH175))</f>
        <v>1</v>
      </c>
      <c r="CP175" t="str">
        <f>IF($K175="Standard Match","Match",IF($K175="Name Only Match",IF($CO175="Yes","Match","Name Only Match"),"No Match"))</f>
        <v>Match</v>
      </c>
      <c r="CQ175" s="35" t="str">
        <f>IF(AND(CP175="Match",CK175&gt;0,CL175&gt;0),"Y","N")</f>
        <v>Y</v>
      </c>
      <c r="CS175" t="str">
        <f>IF($CQ175="Y",VLOOKUP($CM175,'SBA Size Standards'!$B$3:$G$57,MATCH('SBA Size Standards'!$G$3,'SBA Size Standards'!$B$3:$G$3,0),FALSE),"")</f>
        <v>Revenue</v>
      </c>
      <c r="CT175" s="60">
        <f>IF(CQ175="Y",IF($CS175="Employment","N/A",VLOOKUP($CM175,'SBA Size Standards'!$B$3:$G$57,MATCH('SBA Size Standards'!$E$3,'SBA Size Standards'!$B$3:$G$3,0),FALSE)),"")</f>
        <v>16500000</v>
      </c>
      <c r="CU175" s="86" t="str">
        <f>IF($CQ175="Y",IF($CS175="Revenue","N/A",VLOOKUP($CM175,'SBA Size Standards'!$B$3:$G$57,MATCH('SBA Size Standards'!$F$3,'SBA Size Standards'!$B$3:$G$3,0),FALSE)),"")</f>
        <v>N/A</v>
      </c>
      <c r="CV175" t="str">
        <f>IF($CQ175="Y",IF(OR(AND($CS175="Employment",$CL175&lt;$CU175),AND($CS175="Revenue",$CK175&lt;$CT175)),"YES","NO"),"")</f>
        <v>YES</v>
      </c>
      <c r="CW175" s="90" t="str">
        <f>IF($CQ175="Y",INDEX('SBA Size Standards'!$N$3:$N$12,MATCH($CK175,'SBA Size Standards'!$O$3:$O$12,1)),"")</f>
        <v>$1,000,001 - $5,000,000</v>
      </c>
      <c r="CX175" s="122" t="s">
        <v>4565</v>
      </c>
      <c r="CY175" s="122">
        <f>INDEX('NM O&amp;G Production'!$P$3:$P$537,MATCH(CX175,'NM O&amp;G Production'!$Q$3:$Q$537,0))</f>
        <v>74</v>
      </c>
      <c r="CZ175" s="122" t="str">
        <f>INDEX('NM O&amp;G Production'!$O$3:$O$537,MATCH(CY175,'NM O&amp;G Production'!$P$3:$P$537,0))</f>
        <v>No</v>
      </c>
      <c r="DA175" s="127">
        <f>INDEX('NM O&amp;G Production'!$K$3:$O$537,MATCH($CY175,'NM O&amp;G Production'!$P$3:$P$537,0),MATCH(DA$2,'NM O&amp;G Production'!$K$2:$O$2,0))</f>
        <v>0</v>
      </c>
      <c r="DB175" s="127">
        <f>INDEX('NM O&amp;G Production'!$K$3:$O$537,MATCH($CY175,'NM O&amp;G Production'!$P$3:$P$537,0),MATCH(DB$2,'NM O&amp;G Production'!$K$2:$O$2,0))</f>
        <v>0</v>
      </c>
      <c r="DC175" s="127"/>
      <c r="DD175" s="127">
        <f>INDEX('NM O&amp;G Production'!$K$3:$O$537,MATCH($CY175,'NM O&amp;G Production'!$P$3:$P$537,0),MATCH(DD$2,'NM O&amp;G Production'!$K$2:$O$2,0))</f>
        <v>0</v>
      </c>
      <c r="DE175" s="127">
        <f>INDEX('NM O&amp;G Production'!$K$3:$O$537,MATCH($CY175,'NM O&amp;G Production'!$P$3:$P$537,0),MATCH(DE$2,'NM O&amp;G Production'!$K$2:$O$2,0))</f>
        <v>0</v>
      </c>
      <c r="DF175" s="258" t="e">
        <f>CK175/(DB175+DA175)</f>
        <v>#DIV/0!</v>
      </c>
      <c r="DG175" s="57">
        <f>DD175*(12/18)*1.06*'Oil and Gas Prices'!$C$18</f>
        <v>0</v>
      </c>
      <c r="DH175" s="284">
        <f>DE175*(12/18)*'Oil and Gas Prices'!$C$4</f>
        <v>0</v>
      </c>
      <c r="DI175" s="284"/>
      <c r="DJ175" s="57" t="e">
        <f>(DG175+DH175)/(DA175+DB175)</f>
        <v>#DIV/0!</v>
      </c>
      <c r="DK175" s="18" t="e">
        <f>CK175/DI175</f>
        <v>#DIV/0!</v>
      </c>
    </row>
    <row r="176" spans="1:115" x14ac:dyDescent="0.25">
      <c r="A176" t="s">
        <v>3023</v>
      </c>
      <c r="B176" t="s">
        <v>3024</v>
      </c>
      <c r="D176" t="s">
        <v>3025</v>
      </c>
      <c r="E176" t="s">
        <v>80</v>
      </c>
      <c r="F176">
        <v>76117</v>
      </c>
      <c r="G176" t="s">
        <v>62</v>
      </c>
      <c r="I176">
        <v>441</v>
      </c>
      <c r="J176" t="s">
        <v>63</v>
      </c>
      <c r="K176" t="s">
        <v>4133</v>
      </c>
      <c r="L176" t="s">
        <v>64</v>
      </c>
      <c r="M176">
        <v>10</v>
      </c>
      <c r="N176" t="s">
        <v>3026</v>
      </c>
      <c r="O176" t="s">
        <v>3027</v>
      </c>
      <c r="Q176" t="s">
        <v>3024</v>
      </c>
      <c r="R176" t="s">
        <v>3025</v>
      </c>
      <c r="S176" t="s">
        <v>94</v>
      </c>
      <c r="T176" t="s">
        <v>3028</v>
      </c>
      <c r="U176" t="s">
        <v>62</v>
      </c>
      <c r="V176">
        <v>8178313535</v>
      </c>
      <c r="W176" s="1">
        <v>4200000</v>
      </c>
      <c r="X176">
        <v>2</v>
      </c>
      <c r="Y176">
        <v>2</v>
      </c>
      <c r="Z176">
        <v>1980</v>
      </c>
      <c r="AA176" t="s">
        <v>70</v>
      </c>
      <c r="AB176" t="s">
        <v>3029</v>
      </c>
      <c r="AC176" t="s">
        <v>98</v>
      </c>
      <c r="AD176" t="s">
        <v>99</v>
      </c>
      <c r="AE176">
        <v>1311</v>
      </c>
      <c r="AF176" t="s">
        <v>100</v>
      </c>
      <c r="AI176">
        <v>13110101</v>
      </c>
      <c r="AJ176" t="s">
        <v>102</v>
      </c>
      <c r="AM176">
        <v>211120</v>
      </c>
      <c r="AN176" t="s">
        <v>104</v>
      </c>
      <c r="AQ176" t="s">
        <v>75</v>
      </c>
      <c r="AT176" t="s">
        <v>76</v>
      </c>
      <c r="BF176">
        <v>0</v>
      </c>
      <c r="BG176">
        <v>0</v>
      </c>
      <c r="CK176" s="19">
        <f>IF(BQ176&gt;0,BQ176,W176)</f>
        <v>4200000</v>
      </c>
      <c r="CL176" s="20">
        <f>IF(BS176&gt;0,BS176,Y176)</f>
        <v>2</v>
      </c>
      <c r="CM176" s="34">
        <f>IF(CG176&gt;0,CG176,AM176)</f>
        <v>211120</v>
      </c>
      <c r="CN176" s="80">
        <f>IF($BH176="",1,COUNTIF($BH$3:$BH176,$BH176))</f>
        <v>1</v>
      </c>
      <c r="CP176" t="str">
        <f>IF($K176="Standard Match","Match",IF($K176="Name Only Match",IF($CO176="Yes","Match","Name Only Match"),"No Match"))</f>
        <v>Match</v>
      </c>
      <c r="CQ176" s="35" t="str">
        <f>IF(AND(CP176="Match",CK176&gt;0,CL176&gt;0),"Y","N")</f>
        <v>Y</v>
      </c>
      <c r="CS176" t="str">
        <f>IF($CQ176="Y",VLOOKUP($CM176,'SBA Size Standards'!$B$3:$G$57,MATCH('SBA Size Standards'!$G$3,'SBA Size Standards'!$B$3:$G$3,0),FALSE),"")</f>
        <v>Employment</v>
      </c>
      <c r="CT176" s="60" t="str">
        <f>IF(CQ176="Y",IF($CS176="Employment","N/A",VLOOKUP($CM176,'SBA Size Standards'!$B$3:$G$57,MATCH('SBA Size Standards'!$E$3,'SBA Size Standards'!$B$3:$G$3,0),FALSE)),"")</f>
        <v>N/A</v>
      </c>
      <c r="CU176" s="86">
        <f>IF($CQ176="Y",IF($CS176="Revenue","N/A",VLOOKUP($CM176,'SBA Size Standards'!$B$3:$G$57,MATCH('SBA Size Standards'!$F$3,'SBA Size Standards'!$B$3:$G$3,0),FALSE)),"")</f>
        <v>1250</v>
      </c>
      <c r="CV176" t="str">
        <f>IF($CQ176="Y",IF(OR(AND($CS176="Employment",$CL176&lt;$CU176),AND($CS176="Revenue",$CK176&lt;$CT176)),"YES","NO"),"")</f>
        <v>YES</v>
      </c>
      <c r="CW176" s="90" t="str">
        <f>IF($CQ176="Y",INDEX('SBA Size Standards'!$N$3:$N$12,MATCH($CK176,'SBA Size Standards'!$O$3:$O$12,1)),"")</f>
        <v>$1,000,001 - $5,000,000</v>
      </c>
      <c r="CX176" s="122" t="s">
        <v>4748</v>
      </c>
      <c r="CY176" s="122">
        <f>INDEX('NM O&amp;G Production'!$P$3:$P$537,MATCH(CX176,'NM O&amp;G Production'!$Q$3:$Q$537,0))</f>
        <v>441</v>
      </c>
      <c r="CZ176" s="122" t="str">
        <f>INDEX('NM O&amp;G Production'!$O$3:$O$537,MATCH(CY176,'NM O&amp;G Production'!$P$3:$P$537,0))</f>
        <v>Yes</v>
      </c>
      <c r="DA176" s="127">
        <f>INDEX('NM O&amp;G Production'!$K$3:$O$537,MATCH($CY176,'NM O&amp;G Production'!$P$3:$P$537,0),MATCH(DA$2,'NM O&amp;G Production'!$K$2:$O$2,0))</f>
        <v>0</v>
      </c>
      <c r="DB176" s="127">
        <f>INDEX('NM O&amp;G Production'!$K$3:$O$537,MATCH($CY176,'NM O&amp;G Production'!$P$3:$P$537,0),MATCH(DB$2,'NM O&amp;G Production'!$K$2:$O$2,0))</f>
        <v>1</v>
      </c>
      <c r="DC176" s="127">
        <f>DA176+DB176</f>
        <v>1</v>
      </c>
      <c r="DD176" s="127">
        <f>INDEX('NM O&amp;G Production'!$K$3:$O$537,MATCH($CY176,'NM O&amp;G Production'!$P$3:$P$537,0),MATCH(DD$2,'NM O&amp;G Production'!$K$2:$O$2,0))</f>
        <v>3490</v>
      </c>
      <c r="DE176" s="127">
        <f>INDEX('NM O&amp;G Production'!$K$3:$O$537,MATCH($CY176,'NM O&amp;G Production'!$P$3:$P$537,0),MATCH(DE$2,'NM O&amp;G Production'!$K$2:$O$2,0))</f>
        <v>0</v>
      </c>
      <c r="DF176" s="258">
        <f>CK176/(DB176+DA176)</f>
        <v>4200000</v>
      </c>
      <c r="DG176" s="57">
        <f>DD176*(12/18)*1.06*'Oil and Gas Prices'!$C$18</f>
        <v>5894.3773333333329</v>
      </c>
      <c r="DH176" s="284">
        <f>DE176*(12/18)*'Oil and Gas Prices'!$C$4</f>
        <v>0</v>
      </c>
      <c r="DI176" s="284">
        <f>DG176+DH176</f>
        <v>5894.3773333333329</v>
      </c>
      <c r="DJ176" s="57">
        <f>(DG176+DH176)/(DA176+DB176)</f>
        <v>5894.3773333333329</v>
      </c>
      <c r="DK176" s="318"/>
    </row>
    <row r="177" spans="1:115" x14ac:dyDescent="0.25">
      <c r="A177" t="s">
        <v>1898</v>
      </c>
      <c r="B177" t="s">
        <v>1899</v>
      </c>
      <c r="D177" t="s">
        <v>112</v>
      </c>
      <c r="E177" t="s">
        <v>80</v>
      </c>
      <c r="F177">
        <v>77002</v>
      </c>
      <c r="G177" t="s">
        <v>62</v>
      </c>
      <c r="I177">
        <v>263</v>
      </c>
      <c r="J177" t="s">
        <v>63</v>
      </c>
      <c r="K177" t="s">
        <v>4133</v>
      </c>
      <c r="L177" t="s">
        <v>64</v>
      </c>
      <c r="M177">
        <v>10</v>
      </c>
      <c r="N177" t="s">
        <v>1900</v>
      </c>
      <c r="O177" t="s">
        <v>1901</v>
      </c>
      <c r="Q177" t="s">
        <v>1902</v>
      </c>
      <c r="R177" t="s">
        <v>112</v>
      </c>
      <c r="S177" t="s">
        <v>94</v>
      </c>
      <c r="T177" t="s">
        <v>1903</v>
      </c>
      <c r="U177" t="s">
        <v>62</v>
      </c>
      <c r="V177">
        <v>7132929510</v>
      </c>
      <c r="W177" s="1">
        <v>1381556</v>
      </c>
      <c r="X177">
        <v>1</v>
      </c>
      <c r="Y177">
        <v>3</v>
      </c>
      <c r="Z177">
        <v>2013</v>
      </c>
      <c r="AA177" t="s">
        <v>163</v>
      </c>
      <c r="AB177" t="s">
        <v>1904</v>
      </c>
      <c r="AC177" t="s">
        <v>145</v>
      </c>
      <c r="AD177" t="s">
        <v>1905</v>
      </c>
      <c r="AE177">
        <v>3533</v>
      </c>
      <c r="AF177" t="s">
        <v>1906</v>
      </c>
      <c r="AI177">
        <v>35330000</v>
      </c>
      <c r="AJ177" t="s">
        <v>1907</v>
      </c>
      <c r="AM177">
        <v>333132</v>
      </c>
      <c r="AN177" t="s">
        <v>1908</v>
      </c>
      <c r="AQ177" t="s">
        <v>168</v>
      </c>
      <c r="AR177" t="s">
        <v>1909</v>
      </c>
      <c r="AS177" t="s">
        <v>1910</v>
      </c>
      <c r="AT177" t="s">
        <v>76</v>
      </c>
      <c r="AU177" t="s">
        <v>1911</v>
      </c>
      <c r="AV177" t="s">
        <v>62</v>
      </c>
      <c r="AW177" t="s">
        <v>1909</v>
      </c>
      <c r="AX177" t="s">
        <v>1910</v>
      </c>
      <c r="AY177" t="s">
        <v>1911</v>
      </c>
      <c r="AZ177" t="s">
        <v>62</v>
      </c>
      <c r="BA177" t="s">
        <v>1909</v>
      </c>
      <c r="BC177" t="s">
        <v>1910</v>
      </c>
      <c r="BD177" t="s">
        <v>1911</v>
      </c>
      <c r="BE177" t="s">
        <v>62</v>
      </c>
      <c r="BF177">
        <v>2</v>
      </c>
      <c r="BG177">
        <v>7</v>
      </c>
      <c r="BH177" s="4" t="s">
        <v>1909</v>
      </c>
      <c r="BI177" s="4" t="s">
        <v>1910</v>
      </c>
      <c r="BK177" s="4" t="s">
        <v>4182</v>
      </c>
      <c r="BL177" s="4" t="s">
        <v>4183</v>
      </c>
      <c r="BM177" s="4" t="s">
        <v>4184</v>
      </c>
      <c r="BN177" s="4" t="s">
        <v>4185</v>
      </c>
      <c r="BO177" s="4" t="s">
        <v>62</v>
      </c>
      <c r="BP177" s="4">
        <v>2032932750</v>
      </c>
      <c r="BQ177" s="5">
        <v>4166080</v>
      </c>
      <c r="BR177" s="4">
        <v>2</v>
      </c>
      <c r="BS177" s="4">
        <v>5</v>
      </c>
      <c r="BT177" s="4">
        <v>1998</v>
      </c>
      <c r="BU177" s="4" t="s">
        <v>163</v>
      </c>
      <c r="BV177" s="4" t="s">
        <v>4186</v>
      </c>
      <c r="BW177" s="4" t="s">
        <v>647</v>
      </c>
      <c r="BX177" s="4" t="s">
        <v>3235</v>
      </c>
      <c r="BY177" s="4">
        <v>6799</v>
      </c>
      <c r="BZ177" s="4" t="s">
        <v>3236</v>
      </c>
      <c r="CC177" s="4">
        <v>67999904</v>
      </c>
      <c r="CD177" s="4" t="s">
        <v>4187</v>
      </c>
      <c r="CG177" s="4">
        <v>523910</v>
      </c>
      <c r="CH177" s="4" t="s">
        <v>3237</v>
      </c>
      <c r="CK177" s="19">
        <f>IF(BQ177&gt;0,BQ177,W177)</f>
        <v>4166080</v>
      </c>
      <c r="CL177" s="20">
        <f>IF(BS177&gt;0,BS177,Y177)</f>
        <v>5</v>
      </c>
      <c r="CM177" s="34">
        <f>IF(CG177&gt;0,CG177,AM177)</f>
        <v>523910</v>
      </c>
      <c r="CN177" s="80">
        <f>IF($BH177="",1,COUNTIF($BH$3:$BH177,$BH177))</f>
        <v>1</v>
      </c>
      <c r="CP177" t="str">
        <f>IF($K177="Standard Match","Match",IF($K177="Name Only Match",IF($CO177="Yes","Match","Name Only Match"),"No Match"))</f>
        <v>Match</v>
      </c>
      <c r="CQ177" s="35" t="str">
        <f>IF(AND(CP177="Match",CK177&gt;0,CL177&gt;0),"Y","N")</f>
        <v>Y</v>
      </c>
      <c r="CS177" t="str">
        <f>IF($CQ177="Y",VLOOKUP($CM177,'SBA Size Standards'!$B$3:$G$57,MATCH('SBA Size Standards'!$G$3,'SBA Size Standards'!$B$3:$G$3,0),FALSE),"")</f>
        <v>Revenue</v>
      </c>
      <c r="CT177" s="60">
        <f>IF(CQ177="Y",IF($CS177="Employment","N/A",VLOOKUP($CM177,'SBA Size Standards'!$B$3:$G$57,MATCH('SBA Size Standards'!$E$3,'SBA Size Standards'!$B$3:$G$3,0),FALSE)),"")</f>
        <v>41500000</v>
      </c>
      <c r="CU177" s="86" t="str">
        <f>IF($CQ177="Y",IF($CS177="Revenue","N/A",VLOOKUP($CM177,'SBA Size Standards'!$B$3:$G$57,MATCH('SBA Size Standards'!$F$3,'SBA Size Standards'!$B$3:$G$3,0),FALSE)),"")</f>
        <v>N/A</v>
      </c>
      <c r="CV177" t="str">
        <f>IF($CQ177="Y",IF(OR(AND($CS177="Employment",$CL177&lt;$CU177),AND($CS177="Revenue",$CK177&lt;$CT177)),"YES","NO"),"")</f>
        <v>YES</v>
      </c>
      <c r="CW177" s="90" t="str">
        <f>IF($CQ177="Y",INDEX('SBA Size Standards'!$N$3:$N$12,MATCH($CK177,'SBA Size Standards'!$O$3:$O$12,1)),"")</f>
        <v>$1,000,001 - $5,000,000</v>
      </c>
      <c r="CX177" s="122" t="s">
        <v>4659</v>
      </c>
      <c r="CY177" s="122">
        <f>INDEX('NM O&amp;G Production'!$P$3:$P$537,MATCH(CX177,'NM O&amp;G Production'!$Q$3:$Q$537,0))</f>
        <v>263</v>
      </c>
      <c r="CZ177" s="122" t="str">
        <f>INDEX('NM O&amp;G Production'!$O$3:$O$537,MATCH(CY177,'NM O&amp;G Production'!$P$3:$P$537,0))</f>
        <v>Yes</v>
      </c>
      <c r="DA177" s="127">
        <f>INDEX('NM O&amp;G Production'!$K$3:$O$537,MATCH($CY177,'NM O&amp;G Production'!$P$3:$P$537,0),MATCH(DA$2,'NM O&amp;G Production'!$K$2:$O$2,0))</f>
        <v>110</v>
      </c>
      <c r="DB177" s="127">
        <f>INDEX('NM O&amp;G Production'!$K$3:$O$537,MATCH($CY177,'NM O&amp;G Production'!$P$3:$P$537,0),MATCH(DB$2,'NM O&amp;G Production'!$K$2:$O$2,0))</f>
        <v>325</v>
      </c>
      <c r="DC177" s="127">
        <f>DA177+DB177</f>
        <v>435</v>
      </c>
      <c r="DD177" s="127">
        <f>INDEX('NM O&amp;G Production'!$K$3:$O$537,MATCH($CY177,'NM O&amp;G Production'!$P$3:$P$537,0),MATCH(DD$2,'NM O&amp;G Production'!$K$2:$O$2,0))</f>
        <v>6157659</v>
      </c>
      <c r="DE177" s="127">
        <f>INDEX('NM O&amp;G Production'!$K$3:$O$537,MATCH($CY177,'NM O&amp;G Production'!$P$3:$P$537,0),MATCH(DE$2,'NM O&amp;G Production'!$K$2:$O$2,0))</f>
        <v>1294926</v>
      </c>
      <c r="DF177" s="258">
        <f>CK177/(DB177+DA177)</f>
        <v>9577.1954022988502</v>
      </c>
      <c r="DG177" s="57">
        <f>DD177*(12/18)*1.06*'Oil and Gas Prices'!$C$18</f>
        <v>10399875.540400002</v>
      </c>
      <c r="DH177" s="284">
        <f>DE177*(12/18)*'Oil and Gas Prices'!$C$4</f>
        <v>38847780</v>
      </c>
      <c r="DI177" s="284">
        <f>DG177+DH177</f>
        <v>49247655.540399998</v>
      </c>
      <c r="DJ177" s="57">
        <f>(DG177+DH177)/(DA177+DB177)</f>
        <v>113213.00124229885</v>
      </c>
      <c r="DK177" s="318"/>
    </row>
    <row r="178" spans="1:115" x14ac:dyDescent="0.25">
      <c r="A178" t="s">
        <v>1953</v>
      </c>
      <c r="B178" t="s">
        <v>1954</v>
      </c>
      <c r="D178" t="s">
        <v>378</v>
      </c>
      <c r="E178" t="s">
        <v>80</v>
      </c>
      <c r="F178">
        <v>75206</v>
      </c>
      <c r="G178" t="s">
        <v>62</v>
      </c>
      <c r="I178">
        <v>273</v>
      </c>
      <c r="J178" t="s">
        <v>63</v>
      </c>
      <c r="K178" t="s">
        <v>4133</v>
      </c>
      <c r="L178" t="s">
        <v>64</v>
      </c>
      <c r="M178">
        <v>10</v>
      </c>
      <c r="N178" t="s">
        <v>1955</v>
      </c>
      <c r="O178" t="s">
        <v>1956</v>
      </c>
      <c r="Q178" t="s">
        <v>1957</v>
      </c>
      <c r="R178" t="s">
        <v>378</v>
      </c>
      <c r="S178" t="s">
        <v>94</v>
      </c>
      <c r="T178" t="s">
        <v>1958</v>
      </c>
      <c r="U178" t="s">
        <v>62</v>
      </c>
      <c r="V178">
        <v>2149695555</v>
      </c>
      <c r="W178" s="1">
        <v>4000000</v>
      </c>
      <c r="X178">
        <v>4</v>
      </c>
      <c r="Y178">
        <v>18</v>
      </c>
      <c r="Z178">
        <v>1987</v>
      </c>
      <c r="AA178" t="s">
        <v>163</v>
      </c>
      <c r="AB178" t="s">
        <v>1959</v>
      </c>
      <c r="AC178" t="s">
        <v>98</v>
      </c>
      <c r="AD178" t="s">
        <v>119</v>
      </c>
      <c r="AE178">
        <v>1382</v>
      </c>
      <c r="AF178" t="s">
        <v>120</v>
      </c>
      <c r="AI178">
        <v>13820000</v>
      </c>
      <c r="AJ178" t="s">
        <v>119</v>
      </c>
      <c r="AM178">
        <v>213112</v>
      </c>
      <c r="AN178" t="s">
        <v>74</v>
      </c>
      <c r="AQ178" t="s">
        <v>75</v>
      </c>
      <c r="AR178" t="s">
        <v>1955</v>
      </c>
      <c r="AS178" t="s">
        <v>1956</v>
      </c>
      <c r="AT178" t="s">
        <v>427</v>
      </c>
      <c r="AU178" t="s">
        <v>80</v>
      </c>
      <c r="AV178" t="s">
        <v>62</v>
      </c>
      <c r="AW178" t="s">
        <v>1955</v>
      </c>
      <c r="AX178" t="s">
        <v>1956</v>
      </c>
      <c r="AY178" t="s">
        <v>80</v>
      </c>
      <c r="AZ178" t="s">
        <v>62</v>
      </c>
      <c r="BE178" t="s">
        <v>62</v>
      </c>
      <c r="BF178">
        <v>1</v>
      </c>
      <c r="BG178">
        <v>2</v>
      </c>
      <c r="BH178" s="4" t="s">
        <v>1955</v>
      </c>
      <c r="BI178" s="4" t="s">
        <v>1956</v>
      </c>
      <c r="BK178" s="4" t="s">
        <v>1957</v>
      </c>
      <c r="BL178" s="4" t="s">
        <v>378</v>
      </c>
      <c r="BM178" s="4" t="s">
        <v>94</v>
      </c>
      <c r="BN178" s="4" t="s">
        <v>1958</v>
      </c>
      <c r="BO178" s="4" t="s">
        <v>62</v>
      </c>
      <c r="BP178" s="4">
        <v>2149695555</v>
      </c>
      <c r="BQ178" s="5">
        <v>4000000</v>
      </c>
      <c r="BR178" s="4">
        <v>4</v>
      </c>
      <c r="BS178" s="4">
        <v>18</v>
      </c>
      <c r="BT178" s="4">
        <v>1987</v>
      </c>
      <c r="BU178" s="4" t="s">
        <v>163</v>
      </c>
      <c r="BV178" s="4" t="s">
        <v>1959</v>
      </c>
      <c r="BW178" s="4" t="s">
        <v>98</v>
      </c>
      <c r="BX178" s="4" t="s">
        <v>119</v>
      </c>
      <c r="BY178" s="4">
        <v>1382</v>
      </c>
      <c r="BZ178" s="4" t="s">
        <v>120</v>
      </c>
      <c r="CC178" s="4">
        <v>13820000</v>
      </c>
      <c r="CD178" s="4" t="s">
        <v>119</v>
      </c>
      <c r="CG178" s="4">
        <v>213112</v>
      </c>
      <c r="CH178" s="4" t="s">
        <v>74</v>
      </c>
      <c r="CK178" s="19">
        <f>IF(BQ178&gt;0,BQ178,W178)</f>
        <v>4000000</v>
      </c>
      <c r="CL178" s="20">
        <f>IF(BS178&gt;0,BS178,Y178)</f>
        <v>18</v>
      </c>
      <c r="CM178" s="34">
        <f>IF(CG178&gt;0,CG178,AM178)</f>
        <v>213112</v>
      </c>
      <c r="CN178" s="80">
        <f>IF($BH178="",1,COUNTIF($BH$3:$BH178,$BH178))</f>
        <v>1</v>
      </c>
      <c r="CP178" t="str">
        <f>IF($K178="Standard Match","Match",IF($K178="Name Only Match",IF($CO178="Yes","Match","Name Only Match"),"No Match"))</f>
        <v>Match</v>
      </c>
      <c r="CQ178" s="35" t="str">
        <f>IF(AND(CP178="Match",CK178&gt;0,CL178&gt;0),"Y","N")</f>
        <v>Y</v>
      </c>
      <c r="CS178" t="str">
        <f>IF($CQ178="Y",VLOOKUP($CM178,'SBA Size Standards'!$B$3:$G$57,MATCH('SBA Size Standards'!$G$3,'SBA Size Standards'!$B$3:$G$3,0),FALSE),"")</f>
        <v>Revenue</v>
      </c>
      <c r="CT178" s="60">
        <f>IF(CQ178="Y",IF($CS178="Employment","N/A",VLOOKUP($CM178,'SBA Size Standards'!$B$3:$G$57,MATCH('SBA Size Standards'!$E$3,'SBA Size Standards'!$B$3:$G$3,0),FALSE)),"")</f>
        <v>41500000</v>
      </c>
      <c r="CU178" s="86" t="str">
        <f>IF($CQ178="Y",IF($CS178="Revenue","N/A",VLOOKUP($CM178,'SBA Size Standards'!$B$3:$G$57,MATCH('SBA Size Standards'!$F$3,'SBA Size Standards'!$B$3:$G$3,0),FALSE)),"")</f>
        <v>N/A</v>
      </c>
      <c r="CV178" t="str">
        <f>IF($CQ178="Y",IF(OR(AND($CS178="Employment",$CL178&lt;$CU178),AND($CS178="Revenue",$CK178&lt;$CT178)),"YES","NO"),"")</f>
        <v>YES</v>
      </c>
      <c r="CW178" s="90" t="str">
        <f>IF($CQ178="Y",INDEX('SBA Size Standards'!$N$3:$N$12,MATCH($CK178,'SBA Size Standards'!$O$3:$O$12,1)),"")</f>
        <v>$1,000,001 - $5,000,000</v>
      </c>
      <c r="CX178" s="122" t="s">
        <v>4662</v>
      </c>
      <c r="CY178" s="122">
        <f>INDEX('NM O&amp;G Production'!$P$3:$P$537,MATCH(CX178,'NM O&amp;G Production'!$Q$3:$Q$537,0))</f>
        <v>273</v>
      </c>
      <c r="CZ178" s="122" t="str">
        <f>INDEX('NM O&amp;G Production'!$O$3:$O$537,MATCH(CY178,'NM O&amp;G Production'!$P$3:$P$537,0))</f>
        <v>Yes</v>
      </c>
      <c r="DA178" s="127">
        <f>INDEX('NM O&amp;G Production'!$K$3:$O$537,MATCH($CY178,'NM O&amp;G Production'!$P$3:$P$537,0),MATCH(DA$2,'NM O&amp;G Production'!$K$2:$O$2,0))</f>
        <v>3</v>
      </c>
      <c r="DB178" s="127">
        <f>INDEX('NM O&amp;G Production'!$K$3:$O$537,MATCH($CY178,'NM O&amp;G Production'!$P$3:$P$537,0),MATCH(DB$2,'NM O&amp;G Production'!$K$2:$O$2,0))</f>
        <v>3</v>
      </c>
      <c r="DC178" s="127">
        <f>DA178+DB178</f>
        <v>6</v>
      </c>
      <c r="DD178" s="127">
        <f>INDEX('NM O&amp;G Production'!$K$3:$O$537,MATCH($CY178,'NM O&amp;G Production'!$P$3:$P$537,0),MATCH(DD$2,'NM O&amp;G Production'!$K$2:$O$2,0))</f>
        <v>20934</v>
      </c>
      <c r="DE178" s="127">
        <f>INDEX('NM O&amp;G Production'!$K$3:$O$537,MATCH($CY178,'NM O&amp;G Production'!$P$3:$P$537,0),MATCH(DE$2,'NM O&amp;G Production'!$K$2:$O$2,0))</f>
        <v>39843</v>
      </c>
      <c r="DF178" s="258">
        <f>CK178/(DB178+DA178)</f>
        <v>666666.66666666663</v>
      </c>
      <c r="DG178" s="57">
        <f>DD178*(12/18)*1.06*'Oil and Gas Prices'!$C$18</f>
        <v>35356.130400000002</v>
      </c>
      <c r="DH178" s="284">
        <f>DE178*(12/18)*'Oil and Gas Prices'!$C$4</f>
        <v>1195290</v>
      </c>
      <c r="DI178" s="284">
        <f>DG178+DH178</f>
        <v>1230646.1303999999</v>
      </c>
      <c r="DJ178" s="57">
        <f>(DG178+DH178)/(DA178+DB178)</f>
        <v>205107.68839999998</v>
      </c>
      <c r="DK178" s="319"/>
    </row>
    <row r="179" spans="1:115" x14ac:dyDescent="0.25">
      <c r="A179" t="s">
        <v>316</v>
      </c>
      <c r="B179" t="s">
        <v>317</v>
      </c>
      <c r="D179" t="s">
        <v>318</v>
      </c>
      <c r="E179" t="s">
        <v>80</v>
      </c>
      <c r="F179">
        <v>76450</v>
      </c>
      <c r="G179" t="s">
        <v>62</v>
      </c>
      <c r="I179">
        <v>32</v>
      </c>
      <c r="J179" t="s">
        <v>63</v>
      </c>
      <c r="K179" t="s">
        <v>4133</v>
      </c>
      <c r="L179" t="s">
        <v>149</v>
      </c>
      <c r="M179">
        <v>10</v>
      </c>
      <c r="N179" t="s">
        <v>319</v>
      </c>
      <c r="O179" t="s">
        <v>320</v>
      </c>
      <c r="Q179" t="s">
        <v>321</v>
      </c>
      <c r="R179" t="s">
        <v>318</v>
      </c>
      <c r="S179" t="s">
        <v>94</v>
      </c>
      <c r="T179" t="s">
        <v>322</v>
      </c>
      <c r="U179" t="s">
        <v>62</v>
      </c>
      <c r="V179">
        <v>9405490780</v>
      </c>
      <c r="W179" s="1">
        <v>3955721</v>
      </c>
      <c r="X179">
        <v>35</v>
      </c>
      <c r="Y179">
        <v>35</v>
      </c>
      <c r="Z179">
        <v>1958</v>
      </c>
      <c r="AA179" t="s">
        <v>70</v>
      </c>
      <c r="AB179" t="s">
        <v>323</v>
      </c>
      <c r="AC179" t="s">
        <v>98</v>
      </c>
      <c r="AD179" t="s">
        <v>99</v>
      </c>
      <c r="AE179">
        <v>1311</v>
      </c>
      <c r="AF179" t="s">
        <v>100</v>
      </c>
      <c r="AI179">
        <v>13110101</v>
      </c>
      <c r="AJ179" t="s">
        <v>102</v>
      </c>
      <c r="AM179">
        <v>211120</v>
      </c>
      <c r="AN179" t="s">
        <v>104</v>
      </c>
      <c r="AQ179" t="s">
        <v>75</v>
      </c>
      <c r="AT179" t="s">
        <v>76</v>
      </c>
      <c r="BF179">
        <v>0</v>
      </c>
      <c r="BG179">
        <v>0</v>
      </c>
      <c r="CK179" s="19">
        <f>IF(BQ179&gt;0,BQ179,W179)</f>
        <v>3955721</v>
      </c>
      <c r="CL179" s="20">
        <f>IF(BS179&gt;0,BS179,Y179)</f>
        <v>35</v>
      </c>
      <c r="CM179" s="34">
        <f>IF(CG179&gt;0,CG179,AM179)</f>
        <v>211120</v>
      </c>
      <c r="CN179" s="80">
        <f>IF($BH179="",1,COUNTIF($BH$3:$BH179,$BH179))</f>
        <v>1</v>
      </c>
      <c r="CP179" t="str">
        <f>IF($K179="Standard Match","Match",IF($K179="Name Only Match",IF($CO179="Yes","Match","Name Only Match"),"No Match"))</f>
        <v>Match</v>
      </c>
      <c r="CQ179" s="35" t="str">
        <f>IF(AND(CP179="Match",CK179&gt;0,CL179&gt;0),"Y","N")</f>
        <v>Y</v>
      </c>
      <c r="CS179" t="str">
        <f>IF($CQ179="Y",VLOOKUP($CM179,'SBA Size Standards'!$B$3:$G$57,MATCH('SBA Size Standards'!$G$3,'SBA Size Standards'!$B$3:$G$3,0),FALSE),"")</f>
        <v>Employment</v>
      </c>
      <c r="CT179" s="60" t="str">
        <f>IF(CQ179="Y",IF($CS179="Employment","N/A",VLOOKUP($CM179,'SBA Size Standards'!$B$3:$G$57,MATCH('SBA Size Standards'!$E$3,'SBA Size Standards'!$B$3:$G$3,0),FALSE)),"")</f>
        <v>N/A</v>
      </c>
      <c r="CU179" s="86">
        <f>IF($CQ179="Y",IF($CS179="Revenue","N/A",VLOOKUP($CM179,'SBA Size Standards'!$B$3:$G$57,MATCH('SBA Size Standards'!$F$3,'SBA Size Standards'!$B$3:$G$3,0),FALSE)),"")</f>
        <v>1250</v>
      </c>
      <c r="CV179" t="str">
        <f>IF($CQ179="Y",IF(OR(AND($CS179="Employment",$CL179&lt;$CU179),AND($CS179="Revenue",$CK179&lt;$CT179)),"YES","NO"),"")</f>
        <v>YES</v>
      </c>
      <c r="CW179" s="90" t="str">
        <f>IF($CQ179="Y",INDEX('SBA Size Standards'!$N$3:$N$12,MATCH($CK179,'SBA Size Standards'!$O$3:$O$12,1)),"")</f>
        <v>$1,000,001 - $5,000,000</v>
      </c>
      <c r="CX179" s="122" t="s">
        <v>4548</v>
      </c>
      <c r="CY179" s="122">
        <f>INDEX('NM O&amp;G Production'!$P$3:$P$537,MATCH(CX179,'NM O&amp;G Production'!$Q$3:$Q$537,0))</f>
        <v>32</v>
      </c>
      <c r="CZ179" s="122" t="str">
        <f>INDEX('NM O&amp;G Production'!$O$3:$O$537,MATCH(CY179,'NM O&amp;G Production'!$P$3:$P$537,0))</f>
        <v>Yes</v>
      </c>
      <c r="DA179" s="127">
        <f>INDEX('NM O&amp;G Production'!$K$3:$O$537,MATCH($CY179,'NM O&amp;G Production'!$P$3:$P$537,0),MATCH(DA$2,'NM O&amp;G Production'!$K$2:$O$2,0))</f>
        <v>2</v>
      </c>
      <c r="DB179" s="127">
        <f>INDEX('NM O&amp;G Production'!$K$3:$O$537,MATCH($CY179,'NM O&amp;G Production'!$P$3:$P$537,0),MATCH(DB$2,'NM O&amp;G Production'!$K$2:$O$2,0))</f>
        <v>13</v>
      </c>
      <c r="DC179" s="127">
        <f>DA179+DB179</f>
        <v>15</v>
      </c>
      <c r="DD179" s="127">
        <f>INDEX('NM O&amp;G Production'!$K$3:$O$537,MATCH($CY179,'NM O&amp;G Production'!$P$3:$P$537,0),MATCH(DD$2,'NM O&amp;G Production'!$K$2:$O$2,0))</f>
        <v>38949</v>
      </c>
      <c r="DE179" s="127">
        <f>INDEX('NM O&amp;G Production'!$K$3:$O$537,MATCH($CY179,'NM O&amp;G Production'!$P$3:$P$537,0),MATCH(DE$2,'NM O&amp;G Production'!$K$2:$O$2,0))</f>
        <v>12578</v>
      </c>
      <c r="DF179" s="258">
        <f>CK179/(DB179+DA179)</f>
        <v>263714.73333333334</v>
      </c>
      <c r="DG179" s="57">
        <f>DD179*(12/18)*1.06*'Oil and Gas Prices'!$C$18</f>
        <v>65782.264400000015</v>
      </c>
      <c r="DH179" s="284">
        <f>DE179*(12/18)*'Oil and Gas Prices'!$C$4</f>
        <v>377339.99999999994</v>
      </c>
      <c r="DI179" s="284">
        <f>DG179+DH179</f>
        <v>443122.26439999999</v>
      </c>
      <c r="DJ179" s="57">
        <f>(DG179+DH179)/(DA179+DB179)</f>
        <v>29541.484293333331</v>
      </c>
      <c r="DK179" s="319"/>
    </row>
    <row r="180" spans="1:115" x14ac:dyDescent="0.25">
      <c r="A180" t="s">
        <v>1937</v>
      </c>
      <c r="B180" t="s">
        <v>1080</v>
      </c>
      <c r="D180" t="s">
        <v>123</v>
      </c>
      <c r="E180" t="s">
        <v>84</v>
      </c>
      <c r="F180">
        <v>87401</v>
      </c>
      <c r="G180" t="s">
        <v>62</v>
      </c>
      <c r="I180">
        <v>268</v>
      </c>
      <c r="J180" t="s">
        <v>63</v>
      </c>
      <c r="K180" t="s">
        <v>4133</v>
      </c>
      <c r="L180" t="s">
        <v>113</v>
      </c>
      <c r="M180">
        <v>8</v>
      </c>
      <c r="N180" t="s">
        <v>1938</v>
      </c>
      <c r="O180" t="s">
        <v>1939</v>
      </c>
      <c r="Q180" t="s">
        <v>1084</v>
      </c>
      <c r="R180" t="s">
        <v>123</v>
      </c>
      <c r="S180" t="s">
        <v>214</v>
      </c>
      <c r="T180" t="s">
        <v>1085</v>
      </c>
      <c r="U180" t="s">
        <v>62</v>
      </c>
      <c r="V180">
        <v>5052788720</v>
      </c>
      <c r="W180" s="1">
        <v>3823349</v>
      </c>
      <c r="X180">
        <v>11</v>
      </c>
      <c r="Y180">
        <v>11</v>
      </c>
      <c r="Z180">
        <v>2013</v>
      </c>
      <c r="AA180" t="s">
        <v>70</v>
      </c>
      <c r="AB180" t="s">
        <v>1940</v>
      </c>
      <c r="AC180" t="s">
        <v>677</v>
      </c>
      <c r="AD180" t="s">
        <v>517</v>
      </c>
      <c r="AE180">
        <v>1381</v>
      </c>
      <c r="AF180" t="s">
        <v>518</v>
      </c>
      <c r="AI180">
        <v>13810000</v>
      </c>
      <c r="AJ180" t="s">
        <v>519</v>
      </c>
      <c r="AM180">
        <v>213111</v>
      </c>
      <c r="AN180" t="s">
        <v>518</v>
      </c>
      <c r="AQ180" t="s">
        <v>75</v>
      </c>
      <c r="AT180" t="s">
        <v>76</v>
      </c>
      <c r="BF180">
        <v>0</v>
      </c>
      <c r="BG180">
        <v>0</v>
      </c>
      <c r="CK180" s="19">
        <f>IF(BQ180&gt;0,BQ180,W180)</f>
        <v>3823349</v>
      </c>
      <c r="CL180" s="20">
        <f>IF(BS180&gt;0,BS180,Y180)</f>
        <v>11</v>
      </c>
      <c r="CM180" s="34">
        <f>IF(CG180&gt;0,CG180,AM180)</f>
        <v>213111</v>
      </c>
      <c r="CN180" s="80">
        <f>IF($BH180="",1,COUNTIF($BH$3:$BH180,$BH180))</f>
        <v>1</v>
      </c>
      <c r="CP180" t="str">
        <f>IF($K180="Standard Match","Match",IF($K180="Name Only Match",IF($CO180="Yes","Match","Name Only Match"),"No Match"))</f>
        <v>Match</v>
      </c>
      <c r="CQ180" s="35" t="str">
        <f>IF(AND(CP180="Match",CK180&gt;0,CL180&gt;0),"Y","N")</f>
        <v>Y</v>
      </c>
      <c r="CS180" t="str">
        <f>IF($CQ180="Y",VLOOKUP($CM180,'SBA Size Standards'!$B$3:$G$57,MATCH('SBA Size Standards'!$G$3,'SBA Size Standards'!$B$3:$G$3,0),FALSE),"")</f>
        <v>Employment</v>
      </c>
      <c r="CT180" s="60" t="str">
        <f>IF(CQ180="Y",IF($CS180="Employment","N/A",VLOOKUP($CM180,'SBA Size Standards'!$B$3:$G$57,MATCH('SBA Size Standards'!$E$3,'SBA Size Standards'!$B$3:$G$3,0),FALSE)),"")</f>
        <v>N/A</v>
      </c>
      <c r="CU180" s="86">
        <f>IF($CQ180="Y",IF($CS180="Revenue","N/A",VLOOKUP($CM180,'SBA Size Standards'!$B$3:$G$57,MATCH('SBA Size Standards'!$F$3,'SBA Size Standards'!$B$3:$G$3,0),FALSE)),"")</f>
        <v>1000</v>
      </c>
      <c r="CV180" t="str">
        <f>IF($CQ180="Y",IF(OR(AND($CS180="Employment",$CL180&lt;$CU180),AND($CS180="Revenue",$CK180&lt;$CT180)),"YES","NO"),"")</f>
        <v>YES</v>
      </c>
      <c r="CW180" s="90" t="str">
        <f>IF($CQ180="Y",INDEX('SBA Size Standards'!$N$3:$N$12,MATCH($CK180,'SBA Size Standards'!$O$3:$O$12,1)),"")</f>
        <v>$1,000,001 - $5,000,000</v>
      </c>
      <c r="CX180" s="122" t="s">
        <v>4861</v>
      </c>
      <c r="CY180" s="122">
        <f>INDEX('NM O&amp;G Production'!$P$3:$P$537,MATCH(CX180,'NM O&amp;G Production'!$Q$3:$Q$537,0))</f>
        <v>268</v>
      </c>
      <c r="CZ180" s="122" t="str">
        <f>INDEX('NM O&amp;G Production'!$O$3:$O$537,MATCH(CY180,'NM O&amp;G Production'!$P$3:$P$537,0))</f>
        <v>Yes</v>
      </c>
      <c r="DA180" s="127">
        <f>INDEX('NM O&amp;G Production'!$K$3:$O$537,MATCH($CY180,'NM O&amp;G Production'!$P$3:$P$537,0),MATCH(DA$2,'NM O&amp;G Production'!$K$2:$O$2,0))</f>
        <v>510</v>
      </c>
      <c r="DB180" s="127">
        <f>INDEX('NM O&amp;G Production'!$K$3:$O$537,MATCH($CY180,'NM O&amp;G Production'!$P$3:$P$537,0),MATCH(DB$2,'NM O&amp;G Production'!$K$2:$O$2,0))</f>
        <v>657</v>
      </c>
      <c r="DC180" s="127">
        <f>DA180+DB180</f>
        <v>1167</v>
      </c>
      <c r="DD180" s="127">
        <f>INDEX('NM O&amp;G Production'!$K$3:$O$537,MATCH($CY180,'NM O&amp;G Production'!$P$3:$P$537,0),MATCH(DD$2,'NM O&amp;G Production'!$K$2:$O$2,0))</f>
        <v>46005402</v>
      </c>
      <c r="DE180" s="127">
        <f>INDEX('NM O&amp;G Production'!$K$3:$O$537,MATCH($CY180,'NM O&amp;G Production'!$P$3:$P$537,0),MATCH(DE$2,'NM O&amp;G Production'!$K$2:$O$2,0))</f>
        <v>1192550</v>
      </c>
      <c r="DF180" s="258">
        <f>CK180/(DB180+DA180)</f>
        <v>3276.2202227934877</v>
      </c>
      <c r="DG180" s="57">
        <f>DD180*(12/18)*1.06*'Oil and Gas Prices'!$C$18</f>
        <v>77700056.951200008</v>
      </c>
      <c r="DH180" s="284">
        <f>DE180*(12/18)*'Oil and Gas Prices'!$C$4</f>
        <v>35776500</v>
      </c>
      <c r="DI180" s="284">
        <f>DG180+DH180</f>
        <v>113476556.95120001</v>
      </c>
      <c r="DJ180" s="57">
        <f>(DG180+DH180)/(DA180+DB180)</f>
        <v>97237.838004455873</v>
      </c>
      <c r="DK180" s="318"/>
    </row>
    <row r="181" spans="1:115" x14ac:dyDescent="0.25">
      <c r="A181" t="s">
        <v>2037</v>
      </c>
      <c r="B181" t="s">
        <v>2038</v>
      </c>
      <c r="D181" t="s">
        <v>2039</v>
      </c>
      <c r="E181" t="s">
        <v>61</v>
      </c>
      <c r="F181">
        <v>81137</v>
      </c>
      <c r="G181" t="s">
        <v>62</v>
      </c>
      <c r="I181">
        <v>286</v>
      </c>
      <c r="J181" t="s">
        <v>63</v>
      </c>
      <c r="K181" t="s">
        <v>4133</v>
      </c>
      <c r="L181" t="s">
        <v>149</v>
      </c>
      <c r="M181">
        <v>10</v>
      </c>
      <c r="N181" t="s">
        <v>2040</v>
      </c>
      <c r="O181" t="s">
        <v>2041</v>
      </c>
      <c r="P181" t="s">
        <v>2042</v>
      </c>
      <c r="Q181" t="s">
        <v>2043</v>
      </c>
      <c r="R181" t="s">
        <v>2039</v>
      </c>
      <c r="S181" t="s">
        <v>68</v>
      </c>
      <c r="T181" t="s">
        <v>2044</v>
      </c>
      <c r="U181" t="s">
        <v>62</v>
      </c>
      <c r="V181">
        <v>9705634000</v>
      </c>
      <c r="W181" s="1">
        <v>3805014</v>
      </c>
      <c r="X181">
        <v>5</v>
      </c>
      <c r="Y181">
        <v>29</v>
      </c>
      <c r="Z181">
        <v>1990</v>
      </c>
      <c r="AA181" t="s">
        <v>163</v>
      </c>
      <c r="AB181" t="s">
        <v>2045</v>
      </c>
      <c r="AC181" t="s">
        <v>98</v>
      </c>
      <c r="AD181" t="s">
        <v>551</v>
      </c>
      <c r="AE181">
        <v>8711</v>
      </c>
      <c r="AF181" t="s">
        <v>507</v>
      </c>
      <c r="AG181">
        <v>1311</v>
      </c>
      <c r="AH181" t="s">
        <v>100</v>
      </c>
      <c r="AI181">
        <v>87110303</v>
      </c>
      <c r="AJ181" t="s">
        <v>1969</v>
      </c>
      <c r="AK181">
        <v>13110100</v>
      </c>
      <c r="AL181" t="s">
        <v>411</v>
      </c>
      <c r="AM181">
        <v>541330</v>
      </c>
      <c r="AN181" t="s">
        <v>507</v>
      </c>
      <c r="AO181">
        <v>211120</v>
      </c>
      <c r="AP181" t="s">
        <v>104</v>
      </c>
      <c r="AQ181" t="s">
        <v>75</v>
      </c>
      <c r="AR181" t="s">
        <v>2040</v>
      </c>
      <c r="AS181" t="s">
        <v>2041</v>
      </c>
      <c r="AT181" t="s">
        <v>427</v>
      </c>
      <c r="AU181" t="s">
        <v>61</v>
      </c>
      <c r="AV181" t="s">
        <v>62</v>
      </c>
      <c r="AW181" t="s">
        <v>2040</v>
      </c>
      <c r="AX181" t="s">
        <v>2041</v>
      </c>
      <c r="AY181" t="s">
        <v>61</v>
      </c>
      <c r="AZ181" t="s">
        <v>62</v>
      </c>
      <c r="BE181" t="s">
        <v>62</v>
      </c>
      <c r="BF181">
        <v>1</v>
      </c>
      <c r="BG181">
        <v>2</v>
      </c>
      <c r="BH181" s="4" t="s">
        <v>2040</v>
      </c>
      <c r="BI181" s="4" t="s">
        <v>2041</v>
      </c>
      <c r="BJ181" s="4" t="s">
        <v>2042</v>
      </c>
      <c r="BK181" s="4" t="s">
        <v>2043</v>
      </c>
      <c r="BL181" s="4" t="s">
        <v>2039</v>
      </c>
      <c r="BM181" s="4" t="s">
        <v>68</v>
      </c>
      <c r="BN181" s="4" t="s">
        <v>2044</v>
      </c>
      <c r="BO181" s="4" t="s">
        <v>62</v>
      </c>
      <c r="BP181" s="4">
        <v>9705634000</v>
      </c>
      <c r="BQ181" s="5">
        <v>3805014</v>
      </c>
      <c r="BR181" s="4">
        <v>5</v>
      </c>
      <c r="BS181" s="4">
        <v>29</v>
      </c>
      <c r="BT181" s="4">
        <v>1990</v>
      </c>
      <c r="BU181" s="4" t="s">
        <v>163</v>
      </c>
      <c r="BV181" s="4" t="s">
        <v>2045</v>
      </c>
      <c r="BW181" s="4" t="s">
        <v>98</v>
      </c>
      <c r="BX181" s="4" t="s">
        <v>551</v>
      </c>
      <c r="BY181" s="4">
        <v>8711</v>
      </c>
      <c r="BZ181" s="4" t="s">
        <v>507</v>
      </c>
      <c r="CA181" s="4">
        <v>1311</v>
      </c>
      <c r="CB181" s="4" t="s">
        <v>100</v>
      </c>
      <c r="CC181" s="4">
        <v>87110303</v>
      </c>
      <c r="CD181" s="4" t="s">
        <v>1969</v>
      </c>
      <c r="CE181" s="4">
        <v>13110100</v>
      </c>
      <c r="CF181" s="4" t="s">
        <v>411</v>
      </c>
      <c r="CG181" s="4">
        <v>541330</v>
      </c>
      <c r="CH181" s="4" t="s">
        <v>507</v>
      </c>
      <c r="CI181" s="4">
        <v>211120</v>
      </c>
      <c r="CJ181" s="4" t="s">
        <v>104</v>
      </c>
      <c r="CK181" s="19">
        <f>IF(BQ181&gt;0,BQ181,W181)</f>
        <v>3805014</v>
      </c>
      <c r="CL181" s="20">
        <f>IF(BS181&gt;0,BS181,Y181)</f>
        <v>29</v>
      </c>
      <c r="CM181" s="34">
        <f>IF(CG181&gt;0,CG181,AM181)</f>
        <v>541330</v>
      </c>
      <c r="CN181" s="80">
        <f>IF($BH181="",1,COUNTIF($BH$3:$BH181,$BH181))</f>
        <v>1</v>
      </c>
      <c r="CP181" t="str">
        <f>IF($K181="Standard Match","Match",IF($K181="Name Only Match",IF($CO181="Yes","Match","Name Only Match"),"No Match"))</f>
        <v>Match</v>
      </c>
      <c r="CQ181" s="35" t="str">
        <f>IF(AND(CP181="Match",CK181&gt;0,CL181&gt;0),"Y","N")</f>
        <v>Y</v>
      </c>
      <c r="CS181" t="str">
        <f>IF($CQ181="Y",VLOOKUP($CM181,'SBA Size Standards'!$B$3:$G$57,MATCH('SBA Size Standards'!$G$3,'SBA Size Standards'!$B$3:$G$3,0),FALSE),"")</f>
        <v>Revenue</v>
      </c>
      <c r="CT181" s="60">
        <f>IF(CQ181="Y",IF($CS181="Employment","N/A",VLOOKUP($CM181,'SBA Size Standards'!$B$3:$G$57,MATCH('SBA Size Standards'!$E$3,'SBA Size Standards'!$B$3:$G$3,0),FALSE)),"")</f>
        <v>16500000</v>
      </c>
      <c r="CU181" s="86" t="str">
        <f>IF($CQ181="Y",IF($CS181="Revenue","N/A",VLOOKUP($CM181,'SBA Size Standards'!$B$3:$G$57,MATCH('SBA Size Standards'!$F$3,'SBA Size Standards'!$B$3:$G$3,0),FALSE)),"")</f>
        <v>N/A</v>
      </c>
      <c r="CV181" t="str">
        <f>IF($CQ181="Y",IF(OR(AND($CS181="Employment",$CL181&lt;$CU181),AND($CS181="Revenue",$CK181&lt;$CT181)),"YES","NO"),"")</f>
        <v>YES</v>
      </c>
      <c r="CW181" s="90" t="str">
        <f>IF($CQ181="Y",INDEX('SBA Size Standards'!$N$3:$N$12,MATCH($CK181,'SBA Size Standards'!$O$3:$O$12,1)),"")</f>
        <v>$1,000,001 - $5,000,000</v>
      </c>
      <c r="CX181" s="122" t="s">
        <v>4668</v>
      </c>
      <c r="CY181" s="122">
        <f>INDEX('NM O&amp;G Production'!$P$3:$P$537,MATCH(CX181,'NM O&amp;G Production'!$Q$3:$Q$537,0))</f>
        <v>286</v>
      </c>
      <c r="CZ181" s="122" t="str">
        <f>INDEX('NM O&amp;G Production'!$O$3:$O$537,MATCH(CY181,'NM O&amp;G Production'!$P$3:$P$537,0))</f>
        <v>Yes</v>
      </c>
      <c r="DA181" s="127">
        <f>INDEX('NM O&amp;G Production'!$K$3:$O$537,MATCH($CY181,'NM O&amp;G Production'!$P$3:$P$537,0),MATCH(DA$2,'NM O&amp;G Production'!$K$2:$O$2,0))</f>
        <v>5</v>
      </c>
      <c r="DB181" s="127">
        <f>INDEX('NM O&amp;G Production'!$K$3:$O$537,MATCH($CY181,'NM O&amp;G Production'!$P$3:$P$537,0),MATCH(DB$2,'NM O&amp;G Production'!$K$2:$O$2,0))</f>
        <v>11</v>
      </c>
      <c r="DC181" s="127">
        <f>DA181+DB181</f>
        <v>16</v>
      </c>
      <c r="DD181" s="127">
        <f>INDEX('NM O&amp;G Production'!$K$3:$O$537,MATCH($CY181,'NM O&amp;G Production'!$P$3:$P$537,0),MATCH(DD$2,'NM O&amp;G Production'!$K$2:$O$2,0))</f>
        <v>229859</v>
      </c>
      <c r="DE181" s="127">
        <f>INDEX('NM O&amp;G Production'!$K$3:$O$537,MATCH($CY181,'NM O&amp;G Production'!$P$3:$P$537,0),MATCH(DE$2,'NM O&amp;G Production'!$K$2:$O$2,0))</f>
        <v>1742</v>
      </c>
      <c r="DF181" s="258">
        <f>CK181/(DB181+DA181)</f>
        <v>237813.375</v>
      </c>
      <c r="DG181" s="57">
        <f>DD181*(12/18)*1.06*'Oil and Gas Prices'!$C$18</f>
        <v>388216.52706666669</v>
      </c>
      <c r="DH181" s="284">
        <f>DE181*(12/18)*'Oil and Gas Prices'!$C$4</f>
        <v>52260</v>
      </c>
      <c r="DI181" s="284">
        <f>DG181+DH181</f>
        <v>440476.52706666669</v>
      </c>
      <c r="DJ181" s="57">
        <f>(DG181+DH181)/(DA181+DB181)</f>
        <v>27529.782941666668</v>
      </c>
      <c r="DK181" s="319"/>
    </row>
    <row r="182" spans="1:115" x14ac:dyDescent="0.25">
      <c r="A182" t="s">
        <v>877</v>
      </c>
      <c r="B182" t="s">
        <v>878</v>
      </c>
      <c r="D182" t="s">
        <v>153</v>
      </c>
      <c r="E182" t="s">
        <v>80</v>
      </c>
      <c r="F182">
        <v>79701</v>
      </c>
      <c r="G182" t="s">
        <v>62</v>
      </c>
      <c r="I182">
        <v>112</v>
      </c>
      <c r="J182" t="s">
        <v>63</v>
      </c>
      <c r="K182" t="s">
        <v>4133</v>
      </c>
      <c r="L182" t="s">
        <v>113</v>
      </c>
      <c r="M182">
        <v>8</v>
      </c>
      <c r="N182" t="s">
        <v>879</v>
      </c>
      <c r="O182" t="s">
        <v>880</v>
      </c>
      <c r="Q182" t="s">
        <v>881</v>
      </c>
      <c r="R182" t="s">
        <v>153</v>
      </c>
      <c r="S182" t="s">
        <v>94</v>
      </c>
      <c r="T182" t="s">
        <v>882</v>
      </c>
      <c r="U182" t="s">
        <v>62</v>
      </c>
      <c r="V182">
        <v>4326826685</v>
      </c>
      <c r="W182" s="1">
        <v>3401464</v>
      </c>
      <c r="X182">
        <v>60</v>
      </c>
      <c r="Y182">
        <v>60</v>
      </c>
      <c r="Z182">
        <v>2015</v>
      </c>
      <c r="AA182" t="s">
        <v>70</v>
      </c>
      <c r="AB182" t="s">
        <v>883</v>
      </c>
      <c r="AC182" t="s">
        <v>98</v>
      </c>
      <c r="AD182" t="s">
        <v>119</v>
      </c>
      <c r="AE182">
        <v>1382</v>
      </c>
      <c r="AF182" t="s">
        <v>120</v>
      </c>
      <c r="AI182">
        <v>13820000</v>
      </c>
      <c r="AJ182" t="s">
        <v>119</v>
      </c>
      <c r="AM182">
        <v>213112</v>
      </c>
      <c r="AN182" t="s">
        <v>74</v>
      </c>
      <c r="AQ182" t="s">
        <v>75</v>
      </c>
      <c r="AT182" t="s">
        <v>76</v>
      </c>
      <c r="BF182">
        <v>0</v>
      </c>
      <c r="BG182">
        <v>0</v>
      </c>
      <c r="CK182" s="19">
        <f>IF(BQ182&gt;0,BQ182,W182)</f>
        <v>3401464</v>
      </c>
      <c r="CL182" s="20">
        <f>IF(BS182&gt;0,BS182,Y182)</f>
        <v>60</v>
      </c>
      <c r="CM182" s="34">
        <f>IF(CG182&gt;0,CG182,AM182)</f>
        <v>213112</v>
      </c>
      <c r="CN182" s="80">
        <f>IF($BH182="",1,COUNTIF($BH$3:$BH182,$BH182))</f>
        <v>1</v>
      </c>
      <c r="CP182" t="str">
        <f>IF($K182="Standard Match","Match",IF($K182="Name Only Match",IF($CO182="Yes","Match","Name Only Match"),"No Match"))</f>
        <v>Match</v>
      </c>
      <c r="CQ182" s="35" t="str">
        <f>IF(AND(CP182="Match",CK182&gt;0,CL182&gt;0),"Y","N")</f>
        <v>Y</v>
      </c>
      <c r="CS182" t="str">
        <f>IF($CQ182="Y",VLOOKUP($CM182,'SBA Size Standards'!$B$3:$G$57,MATCH('SBA Size Standards'!$G$3,'SBA Size Standards'!$B$3:$G$3,0),FALSE),"")</f>
        <v>Revenue</v>
      </c>
      <c r="CT182" s="60">
        <f>IF(CQ182="Y",IF($CS182="Employment","N/A",VLOOKUP($CM182,'SBA Size Standards'!$B$3:$G$57,MATCH('SBA Size Standards'!$E$3,'SBA Size Standards'!$B$3:$G$3,0),FALSE)),"")</f>
        <v>41500000</v>
      </c>
      <c r="CU182" s="86" t="str">
        <f>IF($CQ182="Y",IF($CS182="Revenue","N/A",VLOOKUP($CM182,'SBA Size Standards'!$B$3:$G$57,MATCH('SBA Size Standards'!$F$3,'SBA Size Standards'!$B$3:$G$3,0),FALSE)),"")</f>
        <v>N/A</v>
      </c>
      <c r="CV182" t="str">
        <f>IF($CQ182="Y",IF(OR(AND($CS182="Employment",$CL182&lt;$CU182),AND($CS182="Revenue",$CK182&lt;$CT182)),"YES","NO"),"")</f>
        <v>YES</v>
      </c>
      <c r="CW182" s="90" t="str">
        <f>IF($CQ182="Y",INDEX('SBA Size Standards'!$N$3:$N$12,MATCH($CK182,'SBA Size Standards'!$O$3:$O$12,1)),"")</f>
        <v>$1,000,001 - $5,000,000</v>
      </c>
      <c r="CX182" s="122" t="s">
        <v>4827</v>
      </c>
      <c r="CY182" s="122">
        <f>INDEX('NM O&amp;G Production'!$P$3:$P$537,MATCH(CX182,'NM O&amp;G Production'!$Q$3:$Q$537,0))</f>
        <v>112</v>
      </c>
      <c r="CZ182" s="122" t="str">
        <f>INDEX('NM O&amp;G Production'!$O$3:$O$537,MATCH(CY182,'NM O&amp;G Production'!$P$3:$P$537,0))</f>
        <v>Yes</v>
      </c>
      <c r="DA182" s="127">
        <f>INDEX('NM O&amp;G Production'!$K$3:$O$537,MATCH($CY182,'NM O&amp;G Production'!$P$3:$P$537,0),MATCH(DA$2,'NM O&amp;G Production'!$K$2:$O$2,0))</f>
        <v>3</v>
      </c>
      <c r="DB182" s="127">
        <f>INDEX('NM O&amp;G Production'!$K$3:$O$537,MATCH($CY182,'NM O&amp;G Production'!$P$3:$P$537,0),MATCH(DB$2,'NM O&amp;G Production'!$K$2:$O$2,0))</f>
        <v>10</v>
      </c>
      <c r="DC182" s="127">
        <f>DA182+DB182</f>
        <v>13</v>
      </c>
      <c r="DD182" s="127">
        <f>INDEX('NM O&amp;G Production'!$K$3:$O$537,MATCH($CY182,'NM O&amp;G Production'!$P$3:$P$537,0),MATCH(DD$2,'NM O&amp;G Production'!$K$2:$O$2,0))</f>
        <v>215780</v>
      </c>
      <c r="DE182" s="127">
        <f>INDEX('NM O&amp;G Production'!$K$3:$O$537,MATCH($CY182,'NM O&amp;G Production'!$P$3:$P$537,0),MATCH(DE$2,'NM O&amp;G Production'!$K$2:$O$2,0))</f>
        <v>5289</v>
      </c>
      <c r="DF182" s="258">
        <f>CK182/(DB182+DA182)</f>
        <v>261651.07692307694</v>
      </c>
      <c r="DG182" s="57">
        <f>DD182*(12/18)*1.06*'Oil and Gas Prices'!$C$18</f>
        <v>364438.03466666664</v>
      </c>
      <c r="DH182" s="284">
        <f>DE182*(12/18)*'Oil and Gas Prices'!$C$4</f>
        <v>158670</v>
      </c>
      <c r="DI182" s="284">
        <f>DG182+DH182</f>
        <v>523108.03466666664</v>
      </c>
      <c r="DJ182" s="57">
        <f>(DG182+DH182)/(DA182+DB182)</f>
        <v>40239.079589743589</v>
      </c>
      <c r="DK182" s="319"/>
    </row>
    <row r="183" spans="1:115" x14ac:dyDescent="0.25">
      <c r="A183" t="s">
        <v>2077</v>
      </c>
      <c r="B183" t="s">
        <v>2078</v>
      </c>
      <c r="D183" t="s">
        <v>153</v>
      </c>
      <c r="E183" t="s">
        <v>80</v>
      </c>
      <c r="F183">
        <v>79710</v>
      </c>
      <c r="G183" t="s">
        <v>62</v>
      </c>
      <c r="I183">
        <v>291</v>
      </c>
      <c r="J183" t="s">
        <v>63</v>
      </c>
      <c r="K183" t="s">
        <v>4133</v>
      </c>
      <c r="L183" t="s">
        <v>149</v>
      </c>
      <c r="M183">
        <v>10</v>
      </c>
      <c r="N183" t="s">
        <v>2079</v>
      </c>
      <c r="O183" t="s">
        <v>2080</v>
      </c>
      <c r="Q183" t="s">
        <v>2081</v>
      </c>
      <c r="R183" t="s">
        <v>153</v>
      </c>
      <c r="S183" t="s">
        <v>94</v>
      </c>
      <c r="T183" t="s">
        <v>2082</v>
      </c>
      <c r="U183" t="s">
        <v>62</v>
      </c>
      <c r="V183">
        <v>4326846373</v>
      </c>
      <c r="W183" s="1">
        <v>3310638</v>
      </c>
      <c r="X183">
        <v>14</v>
      </c>
      <c r="Y183">
        <v>14</v>
      </c>
      <c r="Z183">
        <v>1938</v>
      </c>
      <c r="AA183" t="s">
        <v>163</v>
      </c>
      <c r="AB183" t="s">
        <v>2083</v>
      </c>
      <c r="AC183" t="s">
        <v>923</v>
      </c>
      <c r="AD183" t="s">
        <v>99</v>
      </c>
      <c r="AE183">
        <v>1311</v>
      </c>
      <c r="AF183" t="s">
        <v>100</v>
      </c>
      <c r="AI183">
        <v>13110101</v>
      </c>
      <c r="AJ183" t="s">
        <v>102</v>
      </c>
      <c r="AM183">
        <v>211120</v>
      </c>
      <c r="AN183" t="s">
        <v>104</v>
      </c>
      <c r="AQ183" t="s">
        <v>75</v>
      </c>
      <c r="AR183" t="s">
        <v>2079</v>
      </c>
      <c r="AS183" t="s">
        <v>2080</v>
      </c>
      <c r="AT183" t="s">
        <v>427</v>
      </c>
      <c r="AU183" t="s">
        <v>80</v>
      </c>
      <c r="AV183" t="s">
        <v>62</v>
      </c>
      <c r="AW183" t="s">
        <v>2079</v>
      </c>
      <c r="AX183" t="s">
        <v>2080</v>
      </c>
      <c r="AY183" t="s">
        <v>80</v>
      </c>
      <c r="AZ183" t="s">
        <v>62</v>
      </c>
      <c r="BE183" t="s">
        <v>62</v>
      </c>
      <c r="BF183">
        <v>1</v>
      </c>
      <c r="BG183">
        <v>2</v>
      </c>
      <c r="BH183" s="4" t="s">
        <v>2079</v>
      </c>
      <c r="BI183" s="4" t="s">
        <v>2080</v>
      </c>
      <c r="BK183" s="4" t="s">
        <v>2081</v>
      </c>
      <c r="BL183" s="4" t="s">
        <v>153</v>
      </c>
      <c r="BM183" s="4" t="s">
        <v>94</v>
      </c>
      <c r="BN183" s="4" t="s">
        <v>2082</v>
      </c>
      <c r="BO183" s="4" t="s">
        <v>62</v>
      </c>
      <c r="BP183" s="4">
        <v>4326846373</v>
      </c>
      <c r="BQ183" s="5">
        <v>3310638</v>
      </c>
      <c r="BR183" s="4">
        <v>14</v>
      </c>
      <c r="BS183" s="4">
        <v>14</v>
      </c>
      <c r="BT183" s="4">
        <v>1938</v>
      </c>
      <c r="BU183" s="4" t="s">
        <v>163</v>
      </c>
      <c r="BV183" s="4" t="s">
        <v>2083</v>
      </c>
      <c r="BW183" s="4" t="s">
        <v>923</v>
      </c>
      <c r="BX183" s="4" t="s">
        <v>99</v>
      </c>
      <c r="BY183" s="4">
        <v>1311</v>
      </c>
      <c r="BZ183" s="4" t="s">
        <v>100</v>
      </c>
      <c r="CC183" s="4">
        <v>13110101</v>
      </c>
      <c r="CD183" s="4" t="s">
        <v>102</v>
      </c>
      <c r="CG183" s="4">
        <v>211120</v>
      </c>
      <c r="CH183" s="4" t="s">
        <v>104</v>
      </c>
      <c r="CK183" s="19">
        <f>IF(BQ183&gt;0,BQ183,W183)</f>
        <v>3310638</v>
      </c>
      <c r="CL183" s="20">
        <f>IF(BS183&gt;0,BS183,Y183)</f>
        <v>14</v>
      </c>
      <c r="CM183" s="34">
        <f>IF(CG183&gt;0,CG183,AM183)</f>
        <v>211120</v>
      </c>
      <c r="CN183" s="80">
        <f>IF($BH183="",1,COUNTIF($BH$3:$BH183,$BH183))</f>
        <v>1</v>
      </c>
      <c r="CP183" t="str">
        <f>IF($K183="Standard Match","Match",IF($K183="Name Only Match",IF($CO183="Yes","Match","Name Only Match"),"No Match"))</f>
        <v>Match</v>
      </c>
      <c r="CQ183" s="35" t="str">
        <f>IF(AND(CP183="Match",CK183&gt;0,CL183&gt;0),"Y","N")</f>
        <v>Y</v>
      </c>
      <c r="CS183" t="str">
        <f>IF($CQ183="Y",VLOOKUP($CM183,'SBA Size Standards'!$B$3:$G$57,MATCH('SBA Size Standards'!$G$3,'SBA Size Standards'!$B$3:$G$3,0),FALSE),"")</f>
        <v>Employment</v>
      </c>
      <c r="CT183" s="60" t="str">
        <f>IF(CQ183="Y",IF($CS183="Employment","N/A",VLOOKUP($CM183,'SBA Size Standards'!$B$3:$G$57,MATCH('SBA Size Standards'!$E$3,'SBA Size Standards'!$B$3:$G$3,0),FALSE)),"")</f>
        <v>N/A</v>
      </c>
      <c r="CU183" s="86">
        <f>IF($CQ183="Y",IF($CS183="Revenue","N/A",VLOOKUP($CM183,'SBA Size Standards'!$B$3:$G$57,MATCH('SBA Size Standards'!$F$3,'SBA Size Standards'!$B$3:$G$3,0),FALSE)),"")</f>
        <v>1250</v>
      </c>
      <c r="CV183" t="str">
        <f>IF($CQ183="Y",IF(OR(AND($CS183="Employment",$CL183&lt;$CU183),AND($CS183="Revenue",$CK183&lt;$CT183)),"YES","NO"),"")</f>
        <v>YES</v>
      </c>
      <c r="CW183" s="90" t="str">
        <f>IF($CQ183="Y",INDEX('SBA Size Standards'!$N$3:$N$12,MATCH($CK183,'SBA Size Standards'!$O$3:$O$12,1)),"")</f>
        <v>$1,000,001 - $5,000,000</v>
      </c>
      <c r="CX183" s="122" t="s">
        <v>4671</v>
      </c>
      <c r="CY183" s="122">
        <f>INDEX('NM O&amp;G Production'!$P$3:$P$537,MATCH(CX183,'NM O&amp;G Production'!$Q$3:$Q$537,0))</f>
        <v>291</v>
      </c>
      <c r="CZ183" s="122" t="str">
        <f>INDEX('NM O&amp;G Production'!$O$3:$O$537,MATCH(CY183,'NM O&amp;G Production'!$P$3:$P$537,0))</f>
        <v>Yes</v>
      </c>
      <c r="DA183" s="127">
        <f>INDEX('NM O&amp;G Production'!$K$3:$O$537,MATCH($CY183,'NM O&amp;G Production'!$P$3:$P$537,0),MATCH(DA$2,'NM O&amp;G Production'!$K$2:$O$2,0))</f>
        <v>10</v>
      </c>
      <c r="DB183" s="127">
        <f>INDEX('NM O&amp;G Production'!$K$3:$O$537,MATCH($CY183,'NM O&amp;G Production'!$P$3:$P$537,0),MATCH(DB$2,'NM O&amp;G Production'!$K$2:$O$2,0))</f>
        <v>9</v>
      </c>
      <c r="DC183" s="127">
        <f>DA183+DB183</f>
        <v>19</v>
      </c>
      <c r="DD183" s="127">
        <f>INDEX('NM O&amp;G Production'!$K$3:$O$537,MATCH($CY183,'NM O&amp;G Production'!$P$3:$P$537,0),MATCH(DD$2,'NM O&amp;G Production'!$K$2:$O$2,0))</f>
        <v>869971</v>
      </c>
      <c r="DE183" s="127">
        <f>INDEX('NM O&amp;G Production'!$K$3:$O$537,MATCH($CY183,'NM O&amp;G Production'!$P$3:$P$537,0),MATCH(DE$2,'NM O&amp;G Production'!$K$2:$O$2,0))</f>
        <v>268481</v>
      </c>
      <c r="DF183" s="258">
        <f>CK183/(DB183+DA183)</f>
        <v>174244.10526315789</v>
      </c>
      <c r="DG183" s="57">
        <f>DD183*(12/18)*1.06*'Oil and Gas Prices'!$C$18</f>
        <v>1469323.0209333336</v>
      </c>
      <c r="DH183" s="284">
        <f>DE183*(12/18)*'Oil and Gas Prices'!$C$4</f>
        <v>8054429.9999999991</v>
      </c>
      <c r="DI183" s="284">
        <f>DG183+DH183</f>
        <v>9523753.0209333319</v>
      </c>
      <c r="DJ183" s="57">
        <f>(DG183+DH183)/(DA183+DB183)</f>
        <v>501250.15899649117</v>
      </c>
      <c r="DK183" s="319"/>
    </row>
    <row r="184" spans="1:115" x14ac:dyDescent="0.25">
      <c r="A184" t="s">
        <v>2754</v>
      </c>
      <c r="B184" t="s">
        <v>2755</v>
      </c>
      <c r="D184" t="s">
        <v>123</v>
      </c>
      <c r="E184" t="s">
        <v>84</v>
      </c>
      <c r="F184">
        <v>87499</v>
      </c>
      <c r="G184" t="s">
        <v>62</v>
      </c>
      <c r="I184">
        <v>399</v>
      </c>
      <c r="J184" t="s">
        <v>63</v>
      </c>
      <c r="K184" t="s">
        <v>4133</v>
      </c>
      <c r="L184" t="s">
        <v>149</v>
      </c>
      <c r="M184">
        <v>10</v>
      </c>
      <c r="N184" t="s">
        <v>2756</v>
      </c>
      <c r="O184" t="s">
        <v>2757</v>
      </c>
      <c r="Q184" t="s">
        <v>2758</v>
      </c>
      <c r="R184" t="s">
        <v>123</v>
      </c>
      <c r="S184" t="s">
        <v>214</v>
      </c>
      <c r="T184" t="s">
        <v>2759</v>
      </c>
      <c r="U184" t="s">
        <v>62</v>
      </c>
      <c r="V184">
        <v>5053262659</v>
      </c>
      <c r="W184" s="1">
        <v>3269482</v>
      </c>
      <c r="X184">
        <v>15</v>
      </c>
      <c r="Y184">
        <v>25</v>
      </c>
      <c r="Z184">
        <v>1958</v>
      </c>
      <c r="AA184" t="s">
        <v>163</v>
      </c>
      <c r="AB184" t="s">
        <v>2760</v>
      </c>
      <c r="AC184" t="s">
        <v>145</v>
      </c>
      <c r="AD184" t="s">
        <v>99</v>
      </c>
      <c r="AE184">
        <v>1311</v>
      </c>
      <c r="AF184" t="s">
        <v>100</v>
      </c>
      <c r="AI184">
        <v>13110101</v>
      </c>
      <c r="AJ184" t="s">
        <v>102</v>
      </c>
      <c r="AM184">
        <v>211120</v>
      </c>
      <c r="AN184" t="s">
        <v>104</v>
      </c>
      <c r="AQ184" t="s">
        <v>75</v>
      </c>
      <c r="AR184" t="s">
        <v>2756</v>
      </c>
      <c r="AS184" t="s">
        <v>2757</v>
      </c>
      <c r="AT184" t="s">
        <v>427</v>
      </c>
      <c r="AU184" t="s">
        <v>84</v>
      </c>
      <c r="AV184" t="s">
        <v>62</v>
      </c>
      <c r="AW184" t="s">
        <v>2756</v>
      </c>
      <c r="AX184" t="s">
        <v>2757</v>
      </c>
      <c r="AY184" t="s">
        <v>84</v>
      </c>
      <c r="AZ184" t="s">
        <v>62</v>
      </c>
      <c r="BE184" t="s">
        <v>62</v>
      </c>
      <c r="BF184">
        <v>1</v>
      </c>
      <c r="BG184">
        <v>2</v>
      </c>
      <c r="BH184" s="4" t="s">
        <v>2756</v>
      </c>
      <c r="BI184" s="4" t="s">
        <v>2757</v>
      </c>
      <c r="BK184" s="4" t="s">
        <v>2758</v>
      </c>
      <c r="BL184" s="4" t="s">
        <v>123</v>
      </c>
      <c r="BM184" s="4" t="s">
        <v>214</v>
      </c>
      <c r="BN184" s="4" t="s">
        <v>2759</v>
      </c>
      <c r="BO184" s="4" t="s">
        <v>62</v>
      </c>
      <c r="BP184" s="4">
        <v>5053262659</v>
      </c>
      <c r="BQ184" s="5">
        <v>3269482</v>
      </c>
      <c r="BR184" s="4">
        <v>15</v>
      </c>
      <c r="BS184" s="4">
        <v>25</v>
      </c>
      <c r="BT184" s="4">
        <v>1958</v>
      </c>
      <c r="BU184" s="4" t="s">
        <v>163</v>
      </c>
      <c r="BV184" s="4" t="s">
        <v>2760</v>
      </c>
      <c r="BW184" s="4" t="s">
        <v>145</v>
      </c>
      <c r="BX184" s="4" t="s">
        <v>99</v>
      </c>
      <c r="BY184" s="4">
        <v>1311</v>
      </c>
      <c r="BZ184" s="4" t="s">
        <v>100</v>
      </c>
      <c r="CC184" s="4">
        <v>13110101</v>
      </c>
      <c r="CD184" s="4" t="s">
        <v>102</v>
      </c>
      <c r="CG184" s="4">
        <v>211120</v>
      </c>
      <c r="CH184" s="4" t="s">
        <v>104</v>
      </c>
      <c r="CK184" s="19">
        <f>IF(BQ184&gt;0,BQ184,W184)</f>
        <v>3269482</v>
      </c>
      <c r="CL184" s="20">
        <f>IF(BS184&gt;0,BS184,Y184)</f>
        <v>25</v>
      </c>
      <c r="CM184" s="34">
        <f>IF(CG184&gt;0,CG184,AM184)</f>
        <v>211120</v>
      </c>
      <c r="CN184" s="80">
        <f>IF($BH184="",1,COUNTIF($BH$3:$BH184,$BH184))</f>
        <v>1</v>
      </c>
      <c r="CP184" t="str">
        <f>IF($K184="Standard Match","Match",IF($K184="Name Only Match",IF($CO184="Yes","Match","Name Only Match"),"No Match"))</f>
        <v>Match</v>
      </c>
      <c r="CQ184" s="35" t="str">
        <f>IF(AND(CP184="Match",CK184&gt;0,CL184&gt;0),"Y","N")</f>
        <v>Y</v>
      </c>
      <c r="CS184" t="str">
        <f>IF($CQ184="Y",VLOOKUP($CM184,'SBA Size Standards'!$B$3:$G$57,MATCH('SBA Size Standards'!$G$3,'SBA Size Standards'!$B$3:$G$3,0),FALSE),"")</f>
        <v>Employment</v>
      </c>
      <c r="CT184" s="60" t="str">
        <f>IF(CQ184="Y",IF($CS184="Employment","N/A",VLOOKUP($CM184,'SBA Size Standards'!$B$3:$G$57,MATCH('SBA Size Standards'!$E$3,'SBA Size Standards'!$B$3:$G$3,0),FALSE)),"")</f>
        <v>N/A</v>
      </c>
      <c r="CU184" s="86">
        <f>IF($CQ184="Y",IF($CS184="Revenue","N/A",VLOOKUP($CM184,'SBA Size Standards'!$B$3:$G$57,MATCH('SBA Size Standards'!$F$3,'SBA Size Standards'!$B$3:$G$3,0),FALSE)),"")</f>
        <v>1250</v>
      </c>
      <c r="CV184" t="str">
        <f>IF($CQ184="Y",IF(OR(AND($CS184="Employment",$CL184&lt;$CU184),AND($CS184="Revenue",$CK184&lt;$CT184)),"YES","NO"),"")</f>
        <v>YES</v>
      </c>
      <c r="CW184" s="90" t="str">
        <f>IF($CQ184="Y",INDEX('SBA Size Standards'!$N$3:$N$12,MATCH($CK184,'SBA Size Standards'!$O$3:$O$12,1)),"")</f>
        <v>$1,000,001 - $5,000,000</v>
      </c>
      <c r="CX184" s="122" t="s">
        <v>4724</v>
      </c>
      <c r="CY184" s="122">
        <f>INDEX('NM O&amp;G Production'!$P$3:$P$537,MATCH(CX184,'NM O&amp;G Production'!$Q$3:$Q$537,0))</f>
        <v>399</v>
      </c>
      <c r="CZ184" s="122" t="str">
        <f>INDEX('NM O&amp;G Production'!$O$3:$O$537,MATCH(CY184,'NM O&amp;G Production'!$P$3:$P$537,0))</f>
        <v>Yes</v>
      </c>
      <c r="DA184" s="127">
        <f>INDEX('NM O&amp;G Production'!$K$3:$O$537,MATCH($CY184,'NM O&amp;G Production'!$P$3:$P$537,0),MATCH(DA$2,'NM O&amp;G Production'!$K$2:$O$2,0))</f>
        <v>33</v>
      </c>
      <c r="DB184" s="127">
        <f>INDEX('NM O&amp;G Production'!$K$3:$O$537,MATCH($CY184,'NM O&amp;G Production'!$P$3:$P$537,0),MATCH(DB$2,'NM O&amp;G Production'!$K$2:$O$2,0))</f>
        <v>27</v>
      </c>
      <c r="DC184" s="127">
        <f>DA184+DB184</f>
        <v>60</v>
      </c>
      <c r="DD184" s="127">
        <f>INDEX('NM O&amp;G Production'!$K$3:$O$537,MATCH($CY184,'NM O&amp;G Production'!$P$3:$P$537,0),MATCH(DD$2,'NM O&amp;G Production'!$K$2:$O$2,0))</f>
        <v>1781737</v>
      </c>
      <c r="DE184" s="127">
        <f>INDEX('NM O&amp;G Production'!$K$3:$O$537,MATCH($CY184,'NM O&amp;G Production'!$P$3:$P$537,0),MATCH(DE$2,'NM O&amp;G Production'!$K$2:$O$2,0))</f>
        <v>4297</v>
      </c>
      <c r="DF184" s="258">
        <f>CK184/(DB184+DA184)</f>
        <v>54491.366666666669</v>
      </c>
      <c r="DG184" s="57">
        <f>DD184*(12/18)*1.06*'Oil and Gas Prices'!$C$18</f>
        <v>3009235.0105333333</v>
      </c>
      <c r="DH184" s="284">
        <f>DE184*(12/18)*'Oil and Gas Prices'!$C$4</f>
        <v>128910</v>
      </c>
      <c r="DI184" s="284">
        <f>DG184+DH184</f>
        <v>3138145.0105333333</v>
      </c>
      <c r="DJ184" s="57">
        <f>(DG184+DH184)/(DA184+DB184)</f>
        <v>52302.416842222221</v>
      </c>
      <c r="DK184" s="320"/>
    </row>
    <row r="185" spans="1:115" x14ac:dyDescent="0.25">
      <c r="A185" t="s">
        <v>3330</v>
      </c>
      <c r="B185" t="s">
        <v>3331</v>
      </c>
      <c r="D185" t="s">
        <v>1035</v>
      </c>
      <c r="E185" t="s">
        <v>84</v>
      </c>
      <c r="F185">
        <v>87413</v>
      </c>
      <c r="G185" t="s">
        <v>62</v>
      </c>
      <c r="I185">
        <v>493</v>
      </c>
      <c r="J185" t="s">
        <v>63</v>
      </c>
      <c r="K185" t="s">
        <v>4134</v>
      </c>
      <c r="L185" t="s">
        <v>3627</v>
      </c>
      <c r="M185">
        <v>8</v>
      </c>
      <c r="N185" t="s">
        <v>4005</v>
      </c>
      <c r="O185" t="s">
        <v>4006</v>
      </c>
      <c r="Q185" t="s">
        <v>4007</v>
      </c>
      <c r="R185" t="s">
        <v>123</v>
      </c>
      <c r="S185" t="s">
        <v>214</v>
      </c>
      <c r="T185" t="s">
        <v>4008</v>
      </c>
      <c r="U185" t="s">
        <v>62</v>
      </c>
      <c r="V185">
        <v>5053263753</v>
      </c>
      <c r="W185" s="1">
        <v>3191097</v>
      </c>
      <c r="X185">
        <v>5</v>
      </c>
      <c r="Y185">
        <v>5</v>
      </c>
      <c r="Z185">
        <v>2001</v>
      </c>
      <c r="AA185" t="s">
        <v>70</v>
      </c>
      <c r="AB185" t="s">
        <v>4009</v>
      </c>
      <c r="AC185" t="s">
        <v>145</v>
      </c>
      <c r="AD185" t="s">
        <v>2299</v>
      </c>
      <c r="AE185">
        <v>5169</v>
      </c>
      <c r="AF185" t="s">
        <v>2300</v>
      </c>
      <c r="AI185">
        <v>51690204</v>
      </c>
      <c r="AJ185" t="s">
        <v>4010</v>
      </c>
      <c r="AM185">
        <v>424690</v>
      </c>
      <c r="AN185" t="s">
        <v>2301</v>
      </c>
      <c r="AQ185" t="s">
        <v>75</v>
      </c>
      <c r="AT185" t="s">
        <v>76</v>
      </c>
      <c r="BF185">
        <v>0</v>
      </c>
      <c r="BG185">
        <v>0</v>
      </c>
      <c r="CK185" s="19">
        <f>IF(BQ185&gt;0,BQ185,W185)</f>
        <v>3191097</v>
      </c>
      <c r="CL185" s="20">
        <f>IF(BS185&gt;0,BS185,Y185)</f>
        <v>5</v>
      </c>
      <c r="CM185" s="34">
        <f>IF(CG185&gt;0,CG185,AM185)</f>
        <v>424690</v>
      </c>
      <c r="CN185" s="80">
        <f>IF($BH185="",1,COUNTIF($BH$3:$BH185,$BH185))</f>
        <v>1</v>
      </c>
      <c r="CO185" s="33" t="s">
        <v>4386</v>
      </c>
      <c r="CP185" t="str">
        <f>IF($K185="Standard Match","Match",IF($K185="Name Only Match",IF($CO185="Yes","Match","Name Only Match"),"No Match"))</f>
        <v>Match</v>
      </c>
      <c r="CQ185" s="35" t="str">
        <f>IF(AND(CP185="Match",CK185&gt;0,CL185&gt;0),"Y","N")</f>
        <v>Y</v>
      </c>
      <c r="CS185" t="str">
        <f>IF($CQ185="Y",VLOOKUP($CM185,'SBA Size Standards'!$B$3:$G$57,MATCH('SBA Size Standards'!$G$3,'SBA Size Standards'!$B$3:$G$3,0),FALSE),"")</f>
        <v>Employment</v>
      </c>
      <c r="CT185" s="60" t="str">
        <f>IF(CQ185="Y",IF($CS185="Employment","N/A",VLOOKUP($CM185,'SBA Size Standards'!$B$3:$G$57,MATCH('SBA Size Standards'!$E$3,'SBA Size Standards'!$B$3:$G$3,0),FALSE)),"")</f>
        <v>N/A</v>
      </c>
      <c r="CU185" s="86">
        <f>IF($CQ185="Y",IF($CS185="Revenue","N/A",VLOOKUP($CM185,'SBA Size Standards'!$B$3:$G$57,MATCH('SBA Size Standards'!$F$3,'SBA Size Standards'!$B$3:$G$3,0),FALSE)),"")</f>
        <v>150</v>
      </c>
      <c r="CV185" t="str">
        <f>IF($CQ185="Y",IF(OR(AND($CS185="Employment",$CL185&lt;$CU185),AND($CS185="Revenue",$CK185&lt;$CT185)),"YES","NO"),"")</f>
        <v>YES</v>
      </c>
      <c r="CW185" s="90" t="str">
        <f>IF($CQ185="Y",INDEX('SBA Size Standards'!$N$3:$N$12,MATCH($CK185,'SBA Size Standards'!$O$3:$O$12,1)),"")</f>
        <v>$1,000,001 - $5,000,000</v>
      </c>
      <c r="CX185" s="122" t="s">
        <v>5000</v>
      </c>
      <c r="CY185" s="122">
        <f>INDEX('NM O&amp;G Production'!$P$3:$P$537,MATCH(CX185,'NM O&amp;G Production'!$Q$3:$Q$537,0))</f>
        <v>493</v>
      </c>
      <c r="CZ185" s="122" t="str">
        <f>INDEX('NM O&amp;G Production'!$O$3:$O$537,MATCH(CY185,'NM O&amp;G Production'!$P$3:$P$537,0))</f>
        <v>No</v>
      </c>
      <c r="DA185" s="127">
        <f>INDEX('NM O&amp;G Production'!$K$3:$O$537,MATCH($CY185,'NM O&amp;G Production'!$P$3:$P$537,0),MATCH(DA$2,'NM O&amp;G Production'!$K$2:$O$2,0))</f>
        <v>0</v>
      </c>
      <c r="DB185" s="127">
        <f>INDEX('NM O&amp;G Production'!$K$3:$O$537,MATCH($CY185,'NM O&amp;G Production'!$P$3:$P$537,0),MATCH(DB$2,'NM O&amp;G Production'!$K$2:$O$2,0))</f>
        <v>0</v>
      </c>
      <c r="DC185" s="127"/>
      <c r="DD185" s="127">
        <f>INDEX('NM O&amp;G Production'!$K$3:$O$537,MATCH($CY185,'NM O&amp;G Production'!$P$3:$P$537,0),MATCH(DD$2,'NM O&amp;G Production'!$K$2:$O$2,0))</f>
        <v>0</v>
      </c>
      <c r="DE185" s="127">
        <f>INDEX('NM O&amp;G Production'!$K$3:$O$537,MATCH($CY185,'NM O&amp;G Production'!$P$3:$P$537,0),MATCH(DE$2,'NM O&amp;G Production'!$K$2:$O$2,0))</f>
        <v>0</v>
      </c>
      <c r="DF185" s="258" t="e">
        <f>CK185/(DB185+DA185)</f>
        <v>#DIV/0!</v>
      </c>
      <c r="DG185" s="57">
        <f>DD185*(12/18)*1.06*'Oil and Gas Prices'!$C$18</f>
        <v>0</v>
      </c>
      <c r="DH185" s="284">
        <f>DE185*(12/18)*'Oil and Gas Prices'!$C$4</f>
        <v>0</v>
      </c>
      <c r="DI185" s="284"/>
      <c r="DJ185" s="57" t="e">
        <f>(DG185+DH185)/(DA185+DB185)</f>
        <v>#DIV/0!</v>
      </c>
      <c r="DK185" s="18" t="e">
        <f>CK185/DI185</f>
        <v>#DIV/0!</v>
      </c>
    </row>
    <row r="186" spans="1:115" x14ac:dyDescent="0.25">
      <c r="A186" t="s">
        <v>3407</v>
      </c>
      <c r="B186" t="s">
        <v>3408</v>
      </c>
      <c r="D186" t="s">
        <v>153</v>
      </c>
      <c r="E186" t="s">
        <v>80</v>
      </c>
      <c r="F186">
        <v>79702</v>
      </c>
      <c r="G186" t="s">
        <v>62</v>
      </c>
      <c r="I186">
        <v>504</v>
      </c>
      <c r="J186" t="s">
        <v>63</v>
      </c>
      <c r="K186" t="s">
        <v>4133</v>
      </c>
      <c r="L186" t="s">
        <v>149</v>
      </c>
      <c r="M186">
        <v>10</v>
      </c>
      <c r="N186" t="s">
        <v>3409</v>
      </c>
      <c r="O186" t="s">
        <v>3410</v>
      </c>
      <c r="Q186" t="s">
        <v>3411</v>
      </c>
      <c r="R186" t="s">
        <v>153</v>
      </c>
      <c r="S186" t="s">
        <v>94</v>
      </c>
      <c r="T186" t="s">
        <v>3412</v>
      </c>
      <c r="U186" t="s">
        <v>62</v>
      </c>
      <c r="V186">
        <v>4326833344</v>
      </c>
      <c r="W186" s="1">
        <v>3152866</v>
      </c>
      <c r="X186">
        <v>10</v>
      </c>
      <c r="Y186">
        <v>10</v>
      </c>
      <c r="Z186">
        <v>1964</v>
      </c>
      <c r="AA186" t="s">
        <v>70</v>
      </c>
      <c r="AB186" t="s">
        <v>3413</v>
      </c>
      <c r="AC186" t="s">
        <v>133</v>
      </c>
      <c r="AD186" t="s">
        <v>99</v>
      </c>
      <c r="AE186">
        <v>1311</v>
      </c>
      <c r="AF186" t="s">
        <v>100</v>
      </c>
      <c r="AI186">
        <v>13110101</v>
      </c>
      <c r="AJ186" t="s">
        <v>102</v>
      </c>
      <c r="AM186">
        <v>211120</v>
      </c>
      <c r="AN186" t="s">
        <v>104</v>
      </c>
      <c r="AQ186" t="s">
        <v>75</v>
      </c>
      <c r="AT186" t="s">
        <v>76</v>
      </c>
      <c r="BF186">
        <v>0</v>
      </c>
      <c r="BG186">
        <v>0</v>
      </c>
      <c r="CK186" s="19">
        <f>IF(BQ186&gt;0,BQ186,W186)</f>
        <v>3152866</v>
      </c>
      <c r="CL186" s="20">
        <f>IF(BS186&gt;0,BS186,Y186)</f>
        <v>10</v>
      </c>
      <c r="CM186" s="34">
        <f>IF(CG186&gt;0,CG186,AM186)</f>
        <v>211120</v>
      </c>
      <c r="CN186" s="80">
        <f>IF($BH186="",1,COUNTIF($BH$3:$BH186,$BH186))</f>
        <v>1</v>
      </c>
      <c r="CP186" t="str">
        <f>IF($K186="Standard Match","Match",IF($K186="Name Only Match",IF($CO186="Yes","Match","Name Only Match"),"No Match"))</f>
        <v>Match</v>
      </c>
      <c r="CQ186" s="35" t="str">
        <f>IF(AND(CP186="Match",CK186&gt;0,CL186&gt;0),"Y","N")</f>
        <v>Y</v>
      </c>
      <c r="CS186" t="str">
        <f>IF($CQ186="Y",VLOOKUP($CM186,'SBA Size Standards'!$B$3:$G$57,MATCH('SBA Size Standards'!$G$3,'SBA Size Standards'!$B$3:$G$3,0),FALSE),"")</f>
        <v>Employment</v>
      </c>
      <c r="CT186" s="60" t="str">
        <f>IF(CQ186="Y",IF($CS186="Employment","N/A",VLOOKUP($CM186,'SBA Size Standards'!$B$3:$G$57,MATCH('SBA Size Standards'!$E$3,'SBA Size Standards'!$B$3:$G$3,0),FALSE)),"")</f>
        <v>N/A</v>
      </c>
      <c r="CU186" s="86">
        <f>IF($CQ186="Y",IF($CS186="Revenue","N/A",VLOOKUP($CM186,'SBA Size Standards'!$B$3:$G$57,MATCH('SBA Size Standards'!$F$3,'SBA Size Standards'!$B$3:$G$3,0),FALSE)),"")</f>
        <v>1250</v>
      </c>
      <c r="CV186" t="str">
        <f>IF($CQ186="Y",IF(OR(AND($CS186="Employment",$CL186&lt;$CU186),AND($CS186="Revenue",$CK186&lt;$CT186)),"YES","NO"),"")</f>
        <v>YES</v>
      </c>
      <c r="CW186" s="90" t="str">
        <f>IF($CQ186="Y",INDEX('SBA Size Standards'!$N$3:$N$12,MATCH($CK186,'SBA Size Standards'!$O$3:$O$12,1)),"")</f>
        <v>$1,000,001 - $5,000,000</v>
      </c>
      <c r="CX186" s="122" t="s">
        <v>4776</v>
      </c>
      <c r="CY186" s="122">
        <f>INDEX('NM O&amp;G Production'!$P$3:$P$537,MATCH(CX186,'NM O&amp;G Production'!$Q$3:$Q$537,0))</f>
        <v>504</v>
      </c>
      <c r="CZ186" s="122" t="str">
        <f>INDEX('NM O&amp;G Production'!$O$3:$O$537,MATCH(CY186,'NM O&amp;G Production'!$P$3:$P$537,0))</f>
        <v>Yes</v>
      </c>
      <c r="DA186" s="127">
        <f>INDEX('NM O&amp;G Production'!$K$3:$O$537,MATCH($CY186,'NM O&amp;G Production'!$P$3:$P$537,0),MATCH(DA$2,'NM O&amp;G Production'!$K$2:$O$2,0))</f>
        <v>13</v>
      </c>
      <c r="DB186" s="127">
        <f>INDEX('NM O&amp;G Production'!$K$3:$O$537,MATCH($CY186,'NM O&amp;G Production'!$P$3:$P$537,0),MATCH(DB$2,'NM O&amp;G Production'!$K$2:$O$2,0))</f>
        <v>59</v>
      </c>
      <c r="DC186" s="127">
        <f>DA186+DB186</f>
        <v>72</v>
      </c>
      <c r="DD186" s="127">
        <f>INDEX('NM O&amp;G Production'!$K$3:$O$537,MATCH($CY186,'NM O&amp;G Production'!$P$3:$P$537,0),MATCH(DD$2,'NM O&amp;G Production'!$K$2:$O$2,0))</f>
        <v>617967</v>
      </c>
      <c r="DE186" s="127">
        <f>INDEX('NM O&amp;G Production'!$K$3:$O$537,MATCH($CY186,'NM O&amp;G Production'!$P$3:$P$537,0),MATCH(DE$2,'NM O&amp;G Production'!$K$2:$O$2,0))</f>
        <v>116694</v>
      </c>
      <c r="DF186" s="258">
        <f>CK186/(DB186+DA186)</f>
        <v>43789.805555555555</v>
      </c>
      <c r="DG186" s="57">
        <f>DD186*(12/18)*1.06*'Oil and Gas Prices'!$C$18</f>
        <v>1043705.0652000001</v>
      </c>
      <c r="DH186" s="284">
        <f>DE186*(12/18)*'Oil and Gas Prices'!$C$4</f>
        <v>3500820</v>
      </c>
      <c r="DI186" s="284">
        <f>DG186+DH186</f>
        <v>4544525.0652000001</v>
      </c>
      <c r="DJ186" s="57">
        <f>(DG186+DH186)/(DA186+DB186)</f>
        <v>63118.403683333338</v>
      </c>
      <c r="DK186" s="318"/>
    </row>
    <row r="187" spans="1:115" x14ac:dyDescent="0.25">
      <c r="A187" t="s">
        <v>1654</v>
      </c>
      <c r="B187" t="s">
        <v>1655</v>
      </c>
      <c r="D187" t="s">
        <v>1073</v>
      </c>
      <c r="E187" t="s">
        <v>84</v>
      </c>
      <c r="F187">
        <v>87103</v>
      </c>
      <c r="G187" t="s">
        <v>62</v>
      </c>
      <c r="I187">
        <v>225</v>
      </c>
      <c r="J187" t="s">
        <v>63</v>
      </c>
      <c r="K187" t="s">
        <v>4133</v>
      </c>
      <c r="L187" t="s">
        <v>149</v>
      </c>
      <c r="M187">
        <v>10</v>
      </c>
      <c r="N187" t="s">
        <v>1656</v>
      </c>
      <c r="O187" t="s">
        <v>1657</v>
      </c>
      <c r="P187" t="s">
        <v>1658</v>
      </c>
      <c r="Q187" t="s">
        <v>1659</v>
      </c>
      <c r="R187" t="s">
        <v>1073</v>
      </c>
      <c r="S187" t="s">
        <v>214</v>
      </c>
      <c r="T187" t="s">
        <v>1660</v>
      </c>
      <c r="U187" t="s">
        <v>62</v>
      </c>
      <c r="V187">
        <v>5052422050</v>
      </c>
      <c r="W187" s="1">
        <v>3076481</v>
      </c>
      <c r="X187">
        <v>10</v>
      </c>
      <c r="Y187">
        <v>10</v>
      </c>
      <c r="Z187">
        <v>1993</v>
      </c>
      <c r="AA187" t="s">
        <v>70</v>
      </c>
      <c r="AB187" t="s">
        <v>1661</v>
      </c>
      <c r="AC187" t="s">
        <v>98</v>
      </c>
      <c r="AD187" t="s">
        <v>119</v>
      </c>
      <c r="AE187">
        <v>1382</v>
      </c>
      <c r="AF187" t="s">
        <v>120</v>
      </c>
      <c r="AG187">
        <v>1311</v>
      </c>
      <c r="AH187" t="s">
        <v>100</v>
      </c>
      <c r="AI187">
        <v>13820000</v>
      </c>
      <c r="AJ187" t="s">
        <v>119</v>
      </c>
      <c r="AK187">
        <v>13110000</v>
      </c>
      <c r="AL187" t="s">
        <v>276</v>
      </c>
      <c r="AM187">
        <v>213112</v>
      </c>
      <c r="AN187" t="s">
        <v>74</v>
      </c>
      <c r="AO187">
        <v>211120</v>
      </c>
      <c r="AP187" t="s">
        <v>104</v>
      </c>
      <c r="AQ187" t="s">
        <v>75</v>
      </c>
      <c r="AT187" t="s">
        <v>76</v>
      </c>
      <c r="BF187">
        <v>0</v>
      </c>
      <c r="BG187">
        <v>0</v>
      </c>
      <c r="CK187" s="19">
        <f>IF(BQ187&gt;0,BQ187,W187)</f>
        <v>3076481</v>
      </c>
      <c r="CL187" s="20">
        <f>IF(BS187&gt;0,BS187,Y187)</f>
        <v>10</v>
      </c>
      <c r="CM187" s="34">
        <f>IF(CG187&gt;0,CG187,AM187)</f>
        <v>213112</v>
      </c>
      <c r="CN187" s="80">
        <f>IF($BH187="",1,COUNTIF($BH$3:$BH187,$BH187))</f>
        <v>1</v>
      </c>
      <c r="CP187" t="str">
        <f>IF($K187="Standard Match","Match",IF($K187="Name Only Match",IF($CO187="Yes","Match","Name Only Match"),"No Match"))</f>
        <v>Match</v>
      </c>
      <c r="CQ187" s="35" t="str">
        <f>IF(AND(CP187="Match",CK187&gt;0,CL187&gt;0),"Y","N")</f>
        <v>Y</v>
      </c>
      <c r="CS187" t="str">
        <f>IF($CQ187="Y",VLOOKUP($CM187,'SBA Size Standards'!$B$3:$G$57,MATCH('SBA Size Standards'!$G$3,'SBA Size Standards'!$B$3:$G$3,0),FALSE),"")</f>
        <v>Revenue</v>
      </c>
      <c r="CT187" s="60">
        <f>IF(CQ187="Y",IF($CS187="Employment","N/A",VLOOKUP($CM187,'SBA Size Standards'!$B$3:$G$57,MATCH('SBA Size Standards'!$E$3,'SBA Size Standards'!$B$3:$G$3,0),FALSE)),"")</f>
        <v>41500000</v>
      </c>
      <c r="CU187" s="86" t="str">
        <f>IF($CQ187="Y",IF($CS187="Revenue","N/A",VLOOKUP($CM187,'SBA Size Standards'!$B$3:$G$57,MATCH('SBA Size Standards'!$F$3,'SBA Size Standards'!$B$3:$G$3,0),FALSE)),"")</f>
        <v>N/A</v>
      </c>
      <c r="CV187" t="str">
        <f>IF($CQ187="Y",IF(OR(AND($CS187="Employment",$CL187&lt;$CU187),AND($CS187="Revenue",$CK187&lt;$CT187)),"YES","NO"),"")</f>
        <v>YES</v>
      </c>
      <c r="CW187" s="90" t="str">
        <f>IF($CQ187="Y",INDEX('SBA Size Standards'!$N$3:$N$12,MATCH($CK187,'SBA Size Standards'!$O$3:$O$12,1)),"")</f>
        <v>$1,000,001 - $5,000,000</v>
      </c>
      <c r="CX187" s="122" t="s">
        <v>4642</v>
      </c>
      <c r="CY187" s="122">
        <f>INDEX('NM O&amp;G Production'!$P$3:$P$537,MATCH(CX187,'NM O&amp;G Production'!$Q$3:$Q$537,0))</f>
        <v>225</v>
      </c>
      <c r="CZ187" s="122" t="str">
        <f>INDEX('NM O&amp;G Production'!$O$3:$O$537,MATCH(CY187,'NM O&amp;G Production'!$P$3:$P$537,0))</f>
        <v>Yes</v>
      </c>
      <c r="DA187" s="127">
        <f>INDEX('NM O&amp;G Production'!$K$3:$O$537,MATCH($CY187,'NM O&amp;G Production'!$P$3:$P$537,0),MATCH(DA$2,'NM O&amp;G Production'!$K$2:$O$2,0))</f>
        <v>0</v>
      </c>
      <c r="DB187" s="127">
        <f>INDEX('NM O&amp;G Production'!$K$3:$O$537,MATCH($CY187,'NM O&amp;G Production'!$P$3:$P$537,0),MATCH(DB$2,'NM O&amp;G Production'!$K$2:$O$2,0))</f>
        <v>3</v>
      </c>
      <c r="DC187" s="127">
        <f>DA187+DB187</f>
        <v>3</v>
      </c>
      <c r="DD187" s="127">
        <f>INDEX('NM O&amp;G Production'!$K$3:$O$537,MATCH($CY187,'NM O&amp;G Production'!$P$3:$P$537,0),MATCH(DD$2,'NM O&amp;G Production'!$K$2:$O$2,0))</f>
        <v>0</v>
      </c>
      <c r="DE187" s="127">
        <f>INDEX('NM O&amp;G Production'!$K$3:$O$537,MATCH($CY187,'NM O&amp;G Production'!$P$3:$P$537,0),MATCH(DE$2,'NM O&amp;G Production'!$K$2:$O$2,0))</f>
        <v>845</v>
      </c>
      <c r="DF187" s="258">
        <f>CK187/(DB187+DA187)</f>
        <v>1025493.6666666666</v>
      </c>
      <c r="DG187" s="57">
        <f>DD187*(12/18)*1.06*'Oil and Gas Prices'!$C$18</f>
        <v>0</v>
      </c>
      <c r="DH187" s="284">
        <f>DE187*(12/18)*'Oil and Gas Prices'!$C$4</f>
        <v>25349.999999999996</v>
      </c>
      <c r="DI187" s="284">
        <f>DG187+DH187</f>
        <v>25349.999999999996</v>
      </c>
      <c r="DJ187" s="57">
        <f>(DG187+DH187)/(DA187+DB187)</f>
        <v>8449.9999999999982</v>
      </c>
      <c r="DK187" s="318"/>
    </row>
    <row r="188" spans="1:115" x14ac:dyDescent="0.25">
      <c r="A188" t="s">
        <v>2886</v>
      </c>
      <c r="B188" t="s">
        <v>2887</v>
      </c>
      <c r="D188" t="s">
        <v>60</v>
      </c>
      <c r="E188" t="s">
        <v>61</v>
      </c>
      <c r="F188">
        <v>80206</v>
      </c>
      <c r="G188" t="s">
        <v>62</v>
      </c>
      <c r="I188">
        <v>420</v>
      </c>
      <c r="J188" t="s">
        <v>63</v>
      </c>
      <c r="K188" t="s">
        <v>4133</v>
      </c>
      <c r="L188" t="s">
        <v>64</v>
      </c>
      <c r="M188">
        <v>10</v>
      </c>
      <c r="N188" t="s">
        <v>2888</v>
      </c>
      <c r="O188" t="s">
        <v>2889</v>
      </c>
      <c r="Q188" t="s">
        <v>2890</v>
      </c>
      <c r="R188" t="s">
        <v>60</v>
      </c>
      <c r="S188" t="s">
        <v>68</v>
      </c>
      <c r="T188" t="s">
        <v>2891</v>
      </c>
      <c r="U188" t="s">
        <v>62</v>
      </c>
      <c r="V188">
        <v>3033210100</v>
      </c>
      <c r="W188" s="1">
        <v>3000000</v>
      </c>
      <c r="X188">
        <v>3</v>
      </c>
      <c r="Y188">
        <v>3</v>
      </c>
      <c r="Z188">
        <v>1981</v>
      </c>
      <c r="AA188" t="s">
        <v>70</v>
      </c>
      <c r="AB188" t="s">
        <v>2892</v>
      </c>
      <c r="AC188" t="s">
        <v>98</v>
      </c>
      <c r="AD188" t="s">
        <v>352</v>
      </c>
      <c r="AE188">
        <v>6531</v>
      </c>
      <c r="AF188" t="s">
        <v>353</v>
      </c>
      <c r="AG188">
        <v>1311</v>
      </c>
      <c r="AH188" t="s">
        <v>100</v>
      </c>
      <c r="AI188">
        <v>65310104</v>
      </c>
      <c r="AJ188" t="s">
        <v>1919</v>
      </c>
      <c r="AK188">
        <v>13110000</v>
      </c>
      <c r="AL188" t="s">
        <v>276</v>
      </c>
      <c r="AM188">
        <v>531210</v>
      </c>
      <c r="AN188" t="s">
        <v>354</v>
      </c>
      <c r="AO188">
        <v>211120</v>
      </c>
      <c r="AP188" t="s">
        <v>104</v>
      </c>
      <c r="AQ188" t="s">
        <v>75</v>
      </c>
      <c r="AT188" t="s">
        <v>76</v>
      </c>
      <c r="BF188">
        <v>0</v>
      </c>
      <c r="BG188">
        <v>0</v>
      </c>
      <c r="CK188" s="19">
        <f>IF(BQ188&gt;0,BQ188,W188)</f>
        <v>3000000</v>
      </c>
      <c r="CL188" s="20">
        <f>IF(BS188&gt;0,BS188,Y188)</f>
        <v>3</v>
      </c>
      <c r="CM188" s="34">
        <f>IF(CG188&gt;0,CG188,AM188)</f>
        <v>531210</v>
      </c>
      <c r="CN188" s="80">
        <f>IF($BH188="",1,COUNTIF($BH$3:$BH188,$BH188))</f>
        <v>1</v>
      </c>
      <c r="CP188" t="str">
        <f>IF($K188="Standard Match","Match",IF($K188="Name Only Match",IF($CO188="Yes","Match","Name Only Match"),"No Match"))</f>
        <v>Match</v>
      </c>
      <c r="CQ188" s="35" t="str">
        <f>IF(AND(CP188="Match",CK188&gt;0,CL188&gt;0),"Y","N")</f>
        <v>Y</v>
      </c>
      <c r="CS188" t="str">
        <f>IF($CQ188="Y",VLOOKUP($CM188,'SBA Size Standards'!$B$3:$G$57,MATCH('SBA Size Standards'!$G$3,'SBA Size Standards'!$B$3:$G$3,0),FALSE),"")</f>
        <v>Revenue</v>
      </c>
      <c r="CT188" s="60">
        <f>IF(CQ188="Y",IF($CS188="Employment","N/A",VLOOKUP($CM188,'SBA Size Standards'!$B$3:$G$57,MATCH('SBA Size Standards'!$E$3,'SBA Size Standards'!$B$3:$G$3,0),FALSE)),"")</f>
        <v>8000000</v>
      </c>
      <c r="CU188" s="86" t="str">
        <f>IF($CQ188="Y",IF($CS188="Revenue","N/A",VLOOKUP($CM188,'SBA Size Standards'!$B$3:$G$57,MATCH('SBA Size Standards'!$F$3,'SBA Size Standards'!$B$3:$G$3,0),FALSE)),"")</f>
        <v>N/A</v>
      </c>
      <c r="CV188" t="str">
        <f>IF($CQ188="Y",IF(OR(AND($CS188="Employment",$CL188&lt;$CU188),AND($CS188="Revenue",$CK188&lt;$CT188)),"YES","NO"),"")</f>
        <v>YES</v>
      </c>
      <c r="CW188" s="90" t="str">
        <f>IF($CQ188="Y",INDEX('SBA Size Standards'!$N$3:$N$12,MATCH($CK188,'SBA Size Standards'!$O$3:$O$12,1)),"")</f>
        <v>$1,000,001 - $5,000,000</v>
      </c>
      <c r="CX188" s="122" t="s">
        <v>4736</v>
      </c>
      <c r="CY188" s="122">
        <f>INDEX('NM O&amp;G Production'!$P$3:$P$537,MATCH(CX188,'NM O&amp;G Production'!$Q$3:$Q$537,0))</f>
        <v>420</v>
      </c>
      <c r="CZ188" s="122" t="str">
        <f>INDEX('NM O&amp;G Production'!$O$3:$O$537,MATCH(CY188,'NM O&amp;G Production'!$P$3:$P$537,0))</f>
        <v>Yes</v>
      </c>
      <c r="DA188" s="127">
        <f>INDEX('NM O&amp;G Production'!$K$3:$O$537,MATCH($CY188,'NM O&amp;G Production'!$P$3:$P$537,0),MATCH(DA$2,'NM O&amp;G Production'!$K$2:$O$2,0))</f>
        <v>0</v>
      </c>
      <c r="DB188" s="127">
        <f>INDEX('NM O&amp;G Production'!$K$3:$O$537,MATCH($CY188,'NM O&amp;G Production'!$P$3:$P$537,0),MATCH(DB$2,'NM O&amp;G Production'!$K$2:$O$2,0))</f>
        <v>1</v>
      </c>
      <c r="DC188" s="127">
        <f>DA188+DB188</f>
        <v>1</v>
      </c>
      <c r="DD188" s="127">
        <f>INDEX('NM O&amp;G Production'!$K$3:$O$537,MATCH($CY188,'NM O&amp;G Production'!$P$3:$P$537,0),MATCH(DD$2,'NM O&amp;G Production'!$K$2:$O$2,0))</f>
        <v>3158</v>
      </c>
      <c r="DE188" s="127">
        <f>INDEX('NM O&amp;G Production'!$K$3:$O$537,MATCH($CY188,'NM O&amp;G Production'!$P$3:$P$537,0),MATCH(DE$2,'NM O&amp;G Production'!$K$2:$O$2,0))</f>
        <v>0</v>
      </c>
      <c r="DF188" s="258">
        <f>CK188/(DB188+DA188)</f>
        <v>3000000</v>
      </c>
      <c r="DG188" s="57">
        <f>DD188*(12/18)*1.06*'Oil and Gas Prices'!$C$18</f>
        <v>5333.6514666666662</v>
      </c>
      <c r="DH188" s="284">
        <f>DE188*(12/18)*'Oil and Gas Prices'!$C$4</f>
        <v>0</v>
      </c>
      <c r="DI188" s="284">
        <f>DG188+DH188</f>
        <v>5333.6514666666662</v>
      </c>
      <c r="DJ188" s="57">
        <f>(DG188+DH188)/(DA188+DB188)</f>
        <v>5333.6514666666662</v>
      </c>
      <c r="DK188" s="318"/>
    </row>
    <row r="189" spans="1:115" x14ac:dyDescent="0.25">
      <c r="A189" t="s">
        <v>1562</v>
      </c>
      <c r="B189" t="s">
        <v>1563</v>
      </c>
      <c r="D189" t="s">
        <v>153</v>
      </c>
      <c r="E189" t="s">
        <v>80</v>
      </c>
      <c r="F189">
        <v>79701</v>
      </c>
      <c r="G189" t="s">
        <v>62</v>
      </c>
      <c r="I189">
        <v>212</v>
      </c>
      <c r="J189" t="s">
        <v>63</v>
      </c>
      <c r="K189" t="s">
        <v>4133</v>
      </c>
      <c r="L189" t="s">
        <v>64</v>
      </c>
      <c r="M189">
        <v>10</v>
      </c>
      <c r="N189" t="s">
        <v>1564</v>
      </c>
      <c r="O189" t="s">
        <v>1565</v>
      </c>
      <c r="Q189" t="s">
        <v>1566</v>
      </c>
      <c r="R189" t="s">
        <v>153</v>
      </c>
      <c r="S189" t="s">
        <v>94</v>
      </c>
      <c r="T189" t="s">
        <v>1567</v>
      </c>
      <c r="U189" t="s">
        <v>62</v>
      </c>
      <c r="V189">
        <v>4327701882</v>
      </c>
      <c r="W189" s="1">
        <v>2712404</v>
      </c>
      <c r="X189">
        <v>8</v>
      </c>
      <c r="Y189">
        <v>8</v>
      </c>
      <c r="Z189">
        <v>2005</v>
      </c>
      <c r="AA189" t="s">
        <v>70</v>
      </c>
      <c r="AB189" t="s">
        <v>1568</v>
      </c>
      <c r="AC189" t="s">
        <v>98</v>
      </c>
      <c r="AD189" t="s">
        <v>825</v>
      </c>
      <c r="AE189">
        <v>5172</v>
      </c>
      <c r="AF189" t="s">
        <v>826</v>
      </c>
      <c r="AI189">
        <v>51720203</v>
      </c>
      <c r="AJ189" t="s">
        <v>1569</v>
      </c>
      <c r="AM189">
        <v>424720</v>
      </c>
      <c r="AN189" t="s">
        <v>827</v>
      </c>
      <c r="AQ189" t="s">
        <v>75</v>
      </c>
      <c r="AT189" t="s">
        <v>76</v>
      </c>
      <c r="BF189">
        <v>0</v>
      </c>
      <c r="BG189">
        <v>0</v>
      </c>
      <c r="CK189" s="19">
        <f>IF(BQ189&gt;0,BQ189,W189)</f>
        <v>2712404</v>
      </c>
      <c r="CL189" s="20">
        <f>IF(BS189&gt;0,BS189,Y189)</f>
        <v>8</v>
      </c>
      <c r="CM189" s="34">
        <f>IF(CG189&gt;0,CG189,AM189)</f>
        <v>424720</v>
      </c>
      <c r="CN189" s="80">
        <f>IF($BH189="",1,COUNTIF($BH$3:$BH189,$BH189))</f>
        <v>1</v>
      </c>
      <c r="CP189" t="str">
        <f>IF($K189="Standard Match","Match",IF($K189="Name Only Match",IF($CO189="Yes","Match","Name Only Match"),"No Match"))</f>
        <v>Match</v>
      </c>
      <c r="CQ189" s="35" t="str">
        <f>IF(AND(CP189="Match",CK189&gt;0,CL189&gt;0),"Y","N")</f>
        <v>Y</v>
      </c>
      <c r="CS189" t="str">
        <f>IF($CQ189="Y",VLOOKUP($CM189,'SBA Size Standards'!$B$3:$G$57,MATCH('SBA Size Standards'!$G$3,'SBA Size Standards'!$B$3:$G$3,0),FALSE),"")</f>
        <v>Employment</v>
      </c>
      <c r="CT189" s="60" t="str">
        <f>IF(CQ189="Y",IF($CS189="Employment","N/A",VLOOKUP($CM189,'SBA Size Standards'!$B$3:$G$57,MATCH('SBA Size Standards'!$E$3,'SBA Size Standards'!$B$3:$G$3,0),FALSE)),"")</f>
        <v>N/A</v>
      </c>
      <c r="CU189" s="86">
        <f>IF($CQ189="Y",IF($CS189="Revenue","N/A",VLOOKUP($CM189,'SBA Size Standards'!$B$3:$G$57,MATCH('SBA Size Standards'!$F$3,'SBA Size Standards'!$B$3:$G$3,0),FALSE)),"")</f>
        <v>200</v>
      </c>
      <c r="CV189" t="str">
        <f>IF($CQ189="Y",IF(OR(AND($CS189="Employment",$CL189&lt;$CU189),AND($CS189="Revenue",$CK189&lt;$CT189)),"YES","NO"),"")</f>
        <v>YES</v>
      </c>
      <c r="CW189" s="90" t="str">
        <f>IF($CQ189="Y",INDEX('SBA Size Standards'!$N$3:$N$12,MATCH($CK189,'SBA Size Standards'!$O$3:$O$12,1)),"")</f>
        <v>$1,000,001 - $5,000,000</v>
      </c>
      <c r="CX189" s="122" t="s">
        <v>4636</v>
      </c>
      <c r="CY189" s="122">
        <f>INDEX('NM O&amp;G Production'!$P$3:$P$537,MATCH(CX189,'NM O&amp;G Production'!$Q$3:$Q$537,0))</f>
        <v>212</v>
      </c>
      <c r="CZ189" s="122" t="str">
        <f>INDEX('NM O&amp;G Production'!$O$3:$O$537,MATCH(CY189,'NM O&amp;G Production'!$P$3:$P$537,0))</f>
        <v>Yes</v>
      </c>
      <c r="DA189" s="127">
        <f>INDEX('NM O&amp;G Production'!$K$3:$O$537,MATCH($CY189,'NM O&amp;G Production'!$P$3:$P$537,0),MATCH(DA$2,'NM O&amp;G Production'!$K$2:$O$2,0))</f>
        <v>0</v>
      </c>
      <c r="DB189" s="127">
        <f>INDEX('NM O&amp;G Production'!$K$3:$O$537,MATCH($CY189,'NM O&amp;G Production'!$P$3:$P$537,0),MATCH(DB$2,'NM O&amp;G Production'!$K$2:$O$2,0))</f>
        <v>38</v>
      </c>
      <c r="DC189" s="127">
        <f>DA189+DB189</f>
        <v>38</v>
      </c>
      <c r="DD189" s="127">
        <f>INDEX('NM O&amp;G Production'!$K$3:$O$537,MATCH($CY189,'NM O&amp;G Production'!$P$3:$P$537,0),MATCH(DD$2,'NM O&amp;G Production'!$K$2:$O$2,0))</f>
        <v>45112</v>
      </c>
      <c r="DE189" s="127">
        <f>INDEX('NM O&amp;G Production'!$K$3:$O$537,MATCH($CY189,'NM O&amp;G Production'!$P$3:$P$537,0),MATCH(DE$2,'NM O&amp;G Production'!$K$2:$O$2,0))</f>
        <v>34132</v>
      </c>
      <c r="DF189" s="258">
        <f>CK189/(DB189+DA189)</f>
        <v>71379.052631578947</v>
      </c>
      <c r="DG189" s="57">
        <f>DD189*(12/18)*1.06*'Oil and Gas Prices'!$C$18</f>
        <v>76191.160533333343</v>
      </c>
      <c r="DH189" s="284">
        <f>DE189*(12/18)*'Oil and Gas Prices'!$C$4</f>
        <v>1023959.9999999999</v>
      </c>
      <c r="DI189" s="284">
        <f>DG189+DH189</f>
        <v>1100151.1605333332</v>
      </c>
      <c r="DJ189" s="57">
        <f>(DG189+DH189)/(DA189+DB189)</f>
        <v>28951.346329824559</v>
      </c>
      <c r="DK189" s="319"/>
    </row>
    <row r="190" spans="1:115" x14ac:dyDescent="0.25">
      <c r="A190" t="s">
        <v>539</v>
      </c>
      <c r="B190" t="s">
        <v>540</v>
      </c>
      <c r="D190" t="s">
        <v>303</v>
      </c>
      <c r="E190" t="s">
        <v>80</v>
      </c>
      <c r="F190">
        <v>79701</v>
      </c>
      <c r="G190" t="s">
        <v>62</v>
      </c>
      <c r="I190">
        <v>66</v>
      </c>
      <c r="J190" t="s">
        <v>63</v>
      </c>
      <c r="K190" t="s">
        <v>4133</v>
      </c>
      <c r="L190" t="s">
        <v>64</v>
      </c>
      <c r="M190">
        <v>10</v>
      </c>
      <c r="N190" t="s">
        <v>541</v>
      </c>
      <c r="O190" t="s">
        <v>542</v>
      </c>
      <c r="Q190" t="s">
        <v>543</v>
      </c>
      <c r="R190" t="s">
        <v>153</v>
      </c>
      <c r="S190" t="s">
        <v>94</v>
      </c>
      <c r="T190" t="s">
        <v>544</v>
      </c>
      <c r="U190" t="s">
        <v>62</v>
      </c>
      <c r="V190">
        <v>4326827424</v>
      </c>
      <c r="W190" s="1">
        <v>2675215</v>
      </c>
      <c r="X190">
        <v>7</v>
      </c>
      <c r="Y190">
        <v>7</v>
      </c>
      <c r="Z190">
        <v>2000</v>
      </c>
      <c r="AA190" t="s">
        <v>70</v>
      </c>
      <c r="AB190" t="s">
        <v>545</v>
      </c>
      <c r="AC190" t="s">
        <v>145</v>
      </c>
      <c r="AD190" t="s">
        <v>99</v>
      </c>
      <c r="AE190">
        <v>1311</v>
      </c>
      <c r="AF190" t="s">
        <v>100</v>
      </c>
      <c r="AI190">
        <v>13110101</v>
      </c>
      <c r="AJ190" t="s">
        <v>102</v>
      </c>
      <c r="AM190">
        <v>211120</v>
      </c>
      <c r="AN190" t="s">
        <v>104</v>
      </c>
      <c r="AQ190" t="s">
        <v>75</v>
      </c>
      <c r="AT190" t="s">
        <v>76</v>
      </c>
      <c r="BF190">
        <v>0</v>
      </c>
      <c r="BG190">
        <v>0</v>
      </c>
      <c r="CK190" s="19">
        <f>IF(BQ190&gt;0,BQ190,W190)</f>
        <v>2675215</v>
      </c>
      <c r="CL190" s="20">
        <f>IF(BS190&gt;0,BS190,Y190)</f>
        <v>7</v>
      </c>
      <c r="CM190" s="34">
        <f>IF(CG190&gt;0,CG190,AM190)</f>
        <v>211120</v>
      </c>
      <c r="CN190" s="80">
        <f>IF($BH190="",1,COUNTIF($BH$3:$BH190,$BH190))</f>
        <v>1</v>
      </c>
      <c r="CP190" t="str">
        <f>IF($K190="Standard Match","Match",IF($K190="Name Only Match",IF($CO190="Yes","Match","Name Only Match"),"No Match"))</f>
        <v>Match</v>
      </c>
      <c r="CQ190" s="35" t="str">
        <f>IF(AND(CP190="Match",CK190&gt;0,CL190&gt;0),"Y","N")</f>
        <v>Y</v>
      </c>
      <c r="CS190" t="str">
        <f>IF($CQ190="Y",VLOOKUP($CM190,'SBA Size Standards'!$B$3:$G$57,MATCH('SBA Size Standards'!$G$3,'SBA Size Standards'!$B$3:$G$3,0),FALSE),"")</f>
        <v>Employment</v>
      </c>
      <c r="CT190" s="60" t="str">
        <f>IF(CQ190="Y",IF($CS190="Employment","N/A",VLOOKUP($CM190,'SBA Size Standards'!$B$3:$G$57,MATCH('SBA Size Standards'!$E$3,'SBA Size Standards'!$B$3:$G$3,0),FALSE)),"")</f>
        <v>N/A</v>
      </c>
      <c r="CU190" s="86">
        <f>IF($CQ190="Y",IF($CS190="Revenue","N/A",VLOOKUP($CM190,'SBA Size Standards'!$B$3:$G$57,MATCH('SBA Size Standards'!$F$3,'SBA Size Standards'!$B$3:$G$3,0),FALSE)),"")</f>
        <v>1250</v>
      </c>
      <c r="CV190" t="str">
        <f>IF($CQ190="Y",IF(OR(AND($CS190="Employment",$CL190&lt;$CU190),AND($CS190="Revenue",$CK190&lt;$CT190)),"YES","NO"),"")</f>
        <v>YES</v>
      </c>
      <c r="CW190" s="90" t="str">
        <f>IF($CQ190="Y",INDEX('SBA Size Standards'!$N$3:$N$12,MATCH($CK190,'SBA Size Standards'!$O$3:$O$12,1)),"")</f>
        <v>$1,000,001 - $5,000,000</v>
      </c>
      <c r="CX190" s="122" t="s">
        <v>4561</v>
      </c>
      <c r="CY190" s="122">
        <f>INDEX('NM O&amp;G Production'!$P$3:$P$537,MATCH(CX190,'NM O&amp;G Production'!$Q$3:$Q$537,0))</f>
        <v>66</v>
      </c>
      <c r="CZ190" s="122" t="str">
        <f>INDEX('NM O&amp;G Production'!$O$3:$O$537,MATCH(CY190,'NM O&amp;G Production'!$P$3:$P$537,0))</f>
        <v>Yes</v>
      </c>
      <c r="DA190" s="127">
        <f>INDEX('NM O&amp;G Production'!$K$3:$O$537,MATCH($CY190,'NM O&amp;G Production'!$P$3:$P$537,0),MATCH(DA$2,'NM O&amp;G Production'!$K$2:$O$2,0))</f>
        <v>34</v>
      </c>
      <c r="DB190" s="127">
        <f>INDEX('NM O&amp;G Production'!$K$3:$O$537,MATCH($CY190,'NM O&amp;G Production'!$P$3:$P$537,0),MATCH(DB$2,'NM O&amp;G Production'!$K$2:$O$2,0))</f>
        <v>7</v>
      </c>
      <c r="DC190" s="127">
        <f>DA190+DB190</f>
        <v>41</v>
      </c>
      <c r="DD190" s="127">
        <f>INDEX('NM O&amp;G Production'!$K$3:$O$537,MATCH($CY190,'NM O&amp;G Production'!$P$3:$P$537,0),MATCH(DD$2,'NM O&amp;G Production'!$K$2:$O$2,0))</f>
        <v>6261260</v>
      </c>
      <c r="DE190" s="127">
        <f>INDEX('NM O&amp;G Production'!$K$3:$O$537,MATCH($CY190,'NM O&amp;G Production'!$P$3:$P$537,0),MATCH(DE$2,'NM O&amp;G Production'!$K$2:$O$2,0))</f>
        <v>2318617</v>
      </c>
      <c r="DF190" s="258">
        <f>CK190/(DB190+DA190)</f>
        <v>65249.146341463413</v>
      </c>
      <c r="DG190" s="57">
        <f>DD190*(12/18)*1.06*'Oil and Gas Prices'!$C$18</f>
        <v>10574850.722666668</v>
      </c>
      <c r="DH190" s="284">
        <f>DE190*(12/18)*'Oil and Gas Prices'!$C$4</f>
        <v>69558510</v>
      </c>
      <c r="DI190" s="284">
        <f>DG190+DH190</f>
        <v>80133360.722666666</v>
      </c>
      <c r="DJ190" s="57">
        <f>(DG190+DH190)/(DA190+DB190)</f>
        <v>1954472.2127479676</v>
      </c>
      <c r="DK190" s="319"/>
    </row>
    <row r="191" spans="1:115" x14ac:dyDescent="0.25">
      <c r="A191" t="s">
        <v>2633</v>
      </c>
      <c r="B191" t="s">
        <v>2634</v>
      </c>
      <c r="D191" t="s">
        <v>209</v>
      </c>
      <c r="E191" t="s">
        <v>84</v>
      </c>
      <c r="F191">
        <v>88202</v>
      </c>
      <c r="G191" t="s">
        <v>62</v>
      </c>
      <c r="I191">
        <v>381</v>
      </c>
      <c r="J191" t="s">
        <v>63</v>
      </c>
      <c r="K191" t="s">
        <v>4133</v>
      </c>
      <c r="L191" t="s">
        <v>149</v>
      </c>
      <c r="M191">
        <v>10</v>
      </c>
      <c r="N191" t="s">
        <v>2635</v>
      </c>
      <c r="O191" t="s">
        <v>2636</v>
      </c>
      <c r="Q191" t="s">
        <v>2637</v>
      </c>
      <c r="R191" t="s">
        <v>209</v>
      </c>
      <c r="S191" t="s">
        <v>214</v>
      </c>
      <c r="T191" t="s">
        <v>2638</v>
      </c>
      <c r="U191" t="s">
        <v>62</v>
      </c>
      <c r="V191">
        <v>5756223770</v>
      </c>
      <c r="W191" s="1">
        <v>2619510</v>
      </c>
      <c r="X191">
        <v>14</v>
      </c>
      <c r="Y191">
        <v>19</v>
      </c>
      <c r="Z191">
        <v>1965</v>
      </c>
      <c r="AA191" t="s">
        <v>163</v>
      </c>
      <c r="AB191" t="s">
        <v>2639</v>
      </c>
      <c r="AC191" t="s">
        <v>98</v>
      </c>
      <c r="AD191" t="s">
        <v>99</v>
      </c>
      <c r="AE191">
        <v>1311</v>
      </c>
      <c r="AF191" t="s">
        <v>100</v>
      </c>
      <c r="AI191">
        <v>13110101</v>
      </c>
      <c r="AJ191" t="s">
        <v>102</v>
      </c>
      <c r="AM191">
        <v>211120</v>
      </c>
      <c r="AN191" t="s">
        <v>104</v>
      </c>
      <c r="AQ191" t="s">
        <v>75</v>
      </c>
      <c r="AR191" t="s">
        <v>2635</v>
      </c>
      <c r="AS191" t="s">
        <v>2636</v>
      </c>
      <c r="AT191" t="s">
        <v>427</v>
      </c>
      <c r="AU191" t="s">
        <v>84</v>
      </c>
      <c r="AV191" t="s">
        <v>62</v>
      </c>
      <c r="AW191" t="s">
        <v>2635</v>
      </c>
      <c r="AX191" t="s">
        <v>2636</v>
      </c>
      <c r="AY191" t="s">
        <v>84</v>
      </c>
      <c r="AZ191" t="s">
        <v>62</v>
      </c>
      <c r="BE191" t="s">
        <v>62</v>
      </c>
      <c r="BF191">
        <v>1</v>
      </c>
      <c r="BG191">
        <v>2</v>
      </c>
      <c r="BH191" s="4" t="s">
        <v>2635</v>
      </c>
      <c r="BI191" s="4" t="s">
        <v>2636</v>
      </c>
      <c r="BK191" s="4" t="s">
        <v>2637</v>
      </c>
      <c r="BL191" s="4" t="s">
        <v>209</v>
      </c>
      <c r="BM191" s="4" t="s">
        <v>214</v>
      </c>
      <c r="BN191" s="4" t="s">
        <v>2638</v>
      </c>
      <c r="BO191" s="4" t="s">
        <v>62</v>
      </c>
      <c r="BP191" s="4">
        <v>5756223770</v>
      </c>
      <c r="BQ191" s="5">
        <v>2619510</v>
      </c>
      <c r="BR191" s="4">
        <v>14</v>
      </c>
      <c r="BS191" s="4">
        <v>19</v>
      </c>
      <c r="BT191" s="4">
        <v>1965</v>
      </c>
      <c r="BU191" s="4" t="s">
        <v>163</v>
      </c>
      <c r="BV191" s="4" t="s">
        <v>2639</v>
      </c>
      <c r="BW191" s="4" t="s">
        <v>98</v>
      </c>
      <c r="BX191" s="4" t="s">
        <v>99</v>
      </c>
      <c r="BY191" s="4">
        <v>1311</v>
      </c>
      <c r="BZ191" s="4" t="s">
        <v>100</v>
      </c>
      <c r="CC191" s="4">
        <v>13110101</v>
      </c>
      <c r="CD191" s="4" t="s">
        <v>102</v>
      </c>
      <c r="CG191" s="4">
        <v>211120</v>
      </c>
      <c r="CH191" s="4" t="s">
        <v>104</v>
      </c>
      <c r="CK191" s="19">
        <f>IF(BQ191&gt;0,BQ191,W191)</f>
        <v>2619510</v>
      </c>
      <c r="CL191" s="20">
        <f>IF(BS191&gt;0,BS191,Y191)</f>
        <v>19</v>
      </c>
      <c r="CM191" s="34">
        <f>IF(CG191&gt;0,CG191,AM191)</f>
        <v>211120</v>
      </c>
      <c r="CN191" s="80">
        <f>IF($BH191="",1,COUNTIF($BH$3:$BH191,$BH191))</f>
        <v>1</v>
      </c>
      <c r="CP191" t="str">
        <f>IF($K191="Standard Match","Match",IF($K191="Name Only Match",IF($CO191="Yes","Match","Name Only Match"),"No Match"))</f>
        <v>Match</v>
      </c>
      <c r="CQ191" s="35" t="str">
        <f>IF(AND(CP191="Match",CK191&gt;0,CL191&gt;0),"Y","N")</f>
        <v>Y</v>
      </c>
      <c r="CS191" t="str">
        <f>IF($CQ191="Y",VLOOKUP($CM191,'SBA Size Standards'!$B$3:$G$57,MATCH('SBA Size Standards'!$G$3,'SBA Size Standards'!$B$3:$G$3,0),FALSE),"")</f>
        <v>Employment</v>
      </c>
      <c r="CT191" s="60" t="str">
        <f>IF(CQ191="Y",IF($CS191="Employment","N/A",VLOOKUP($CM191,'SBA Size Standards'!$B$3:$G$57,MATCH('SBA Size Standards'!$E$3,'SBA Size Standards'!$B$3:$G$3,0),FALSE)),"")</f>
        <v>N/A</v>
      </c>
      <c r="CU191" s="86">
        <f>IF($CQ191="Y",IF($CS191="Revenue","N/A",VLOOKUP($CM191,'SBA Size Standards'!$B$3:$G$57,MATCH('SBA Size Standards'!$F$3,'SBA Size Standards'!$B$3:$G$3,0),FALSE)),"")</f>
        <v>1250</v>
      </c>
      <c r="CV191" t="str">
        <f>IF($CQ191="Y",IF(OR(AND($CS191="Employment",$CL191&lt;$CU191),AND($CS191="Revenue",$CK191&lt;$CT191)),"YES","NO"),"")</f>
        <v>YES</v>
      </c>
      <c r="CW191" s="90" t="str">
        <f>IF($CQ191="Y",INDEX('SBA Size Standards'!$N$3:$N$12,MATCH($CK191,'SBA Size Standards'!$O$3:$O$12,1)),"")</f>
        <v>$1,000,001 - $5,000,000</v>
      </c>
      <c r="CX191" s="122" t="s">
        <v>4712</v>
      </c>
      <c r="CY191" s="122">
        <f>INDEX('NM O&amp;G Production'!$P$3:$P$537,MATCH(CX191,'NM O&amp;G Production'!$Q$3:$Q$537,0))</f>
        <v>381</v>
      </c>
      <c r="CZ191" s="122" t="str">
        <f>INDEX('NM O&amp;G Production'!$O$3:$O$537,MATCH(CY191,'NM O&amp;G Production'!$P$3:$P$537,0))</f>
        <v>Yes</v>
      </c>
      <c r="DA191" s="127">
        <f>INDEX('NM O&amp;G Production'!$K$3:$O$537,MATCH($CY191,'NM O&amp;G Production'!$P$3:$P$537,0),MATCH(DA$2,'NM O&amp;G Production'!$K$2:$O$2,0))</f>
        <v>27</v>
      </c>
      <c r="DB191" s="127">
        <f>INDEX('NM O&amp;G Production'!$K$3:$O$537,MATCH($CY191,'NM O&amp;G Production'!$P$3:$P$537,0),MATCH(DB$2,'NM O&amp;G Production'!$K$2:$O$2,0))</f>
        <v>75</v>
      </c>
      <c r="DC191" s="127">
        <f>DA191+DB191</f>
        <v>102</v>
      </c>
      <c r="DD191" s="127">
        <f>INDEX('NM O&amp;G Production'!$K$3:$O$537,MATCH($CY191,'NM O&amp;G Production'!$P$3:$P$537,0),MATCH(DD$2,'NM O&amp;G Production'!$K$2:$O$2,0))</f>
        <v>1681789</v>
      </c>
      <c r="DE191" s="127">
        <f>INDEX('NM O&amp;G Production'!$K$3:$O$537,MATCH($CY191,'NM O&amp;G Production'!$P$3:$P$537,0),MATCH(DE$2,'NM O&amp;G Production'!$K$2:$O$2,0))</f>
        <v>697439</v>
      </c>
      <c r="DF191" s="258">
        <f>CK191/(DB191+DA191)</f>
        <v>25681.470588235294</v>
      </c>
      <c r="DG191" s="57">
        <f>DD191*(12/18)*1.06*'Oil and Gas Prices'!$C$18</f>
        <v>2840429.5017333333</v>
      </c>
      <c r="DH191" s="284">
        <f>DE191*(12/18)*'Oil and Gas Prices'!$C$4</f>
        <v>20923170</v>
      </c>
      <c r="DI191" s="284">
        <f>DG191+DH191</f>
        <v>23763599.501733333</v>
      </c>
      <c r="DJ191" s="57">
        <f>(DG191+DH191)/(DA191+DB191)</f>
        <v>232976.46570326798</v>
      </c>
      <c r="DK191" s="318"/>
    </row>
    <row r="192" spans="1:115" x14ac:dyDescent="0.25">
      <c r="A192" t="s">
        <v>1454</v>
      </c>
      <c r="B192" t="s">
        <v>1455</v>
      </c>
      <c r="D192" t="s">
        <v>153</v>
      </c>
      <c r="E192" t="s">
        <v>80</v>
      </c>
      <c r="F192">
        <v>79702</v>
      </c>
      <c r="G192" t="s">
        <v>62</v>
      </c>
      <c r="I192">
        <v>196</v>
      </c>
      <c r="J192" t="s">
        <v>392</v>
      </c>
      <c r="K192" t="s">
        <v>4133</v>
      </c>
      <c r="L192" t="s">
        <v>149</v>
      </c>
      <c r="M192">
        <v>10</v>
      </c>
      <c r="N192" t="s">
        <v>1456</v>
      </c>
      <c r="O192" t="s">
        <v>1457</v>
      </c>
      <c r="P192" t="s">
        <v>1458</v>
      </c>
      <c r="Q192" t="s">
        <v>1459</v>
      </c>
      <c r="R192" t="s">
        <v>153</v>
      </c>
      <c r="S192" t="s">
        <v>94</v>
      </c>
      <c r="T192" t="s">
        <v>1460</v>
      </c>
      <c r="U192" t="s">
        <v>62</v>
      </c>
      <c r="V192">
        <v>4326835216</v>
      </c>
      <c r="W192" s="1">
        <v>2576265</v>
      </c>
      <c r="X192">
        <v>20</v>
      </c>
      <c r="Y192">
        <v>20</v>
      </c>
      <c r="Z192">
        <v>1988</v>
      </c>
      <c r="AA192" t="s">
        <v>70</v>
      </c>
      <c r="AB192" t="s">
        <v>1461</v>
      </c>
      <c r="AC192" t="s">
        <v>98</v>
      </c>
      <c r="AD192" t="s">
        <v>119</v>
      </c>
      <c r="AE192">
        <v>1382</v>
      </c>
      <c r="AF192" t="s">
        <v>120</v>
      </c>
      <c r="AG192">
        <v>1311</v>
      </c>
      <c r="AH192" t="s">
        <v>100</v>
      </c>
      <c r="AI192">
        <v>13820000</v>
      </c>
      <c r="AJ192" t="s">
        <v>119</v>
      </c>
      <c r="AK192">
        <v>13110101</v>
      </c>
      <c r="AL192" t="s">
        <v>102</v>
      </c>
      <c r="AM192">
        <v>213112</v>
      </c>
      <c r="AN192" t="s">
        <v>74</v>
      </c>
      <c r="AO192">
        <v>211120</v>
      </c>
      <c r="AP192" t="s">
        <v>104</v>
      </c>
      <c r="AQ192" t="s">
        <v>75</v>
      </c>
      <c r="AT192" t="s">
        <v>76</v>
      </c>
      <c r="BF192">
        <v>0</v>
      </c>
      <c r="BG192">
        <v>0</v>
      </c>
      <c r="CK192" s="19">
        <f>IF(BQ192&gt;0,BQ192,W192)</f>
        <v>2576265</v>
      </c>
      <c r="CL192" s="20">
        <f>IF(BS192&gt;0,BS192,Y192)</f>
        <v>20</v>
      </c>
      <c r="CM192" s="34">
        <f>IF(CG192&gt;0,CG192,AM192)</f>
        <v>213112</v>
      </c>
      <c r="CN192" s="80">
        <f>IF($BH192="",1,COUNTIF($BH$3:$BH192,$BH192))</f>
        <v>1</v>
      </c>
      <c r="CP192" t="str">
        <f>IF($K192="Standard Match","Match",IF($K192="Name Only Match",IF($CO192="Yes","Match","Name Only Match"),"No Match"))</f>
        <v>Match</v>
      </c>
      <c r="CQ192" s="35" t="str">
        <f>IF(AND(CP192="Match",CK192&gt;0,CL192&gt;0),"Y","N")</f>
        <v>Y</v>
      </c>
      <c r="CS192" t="str">
        <f>IF($CQ192="Y",VLOOKUP($CM192,'SBA Size Standards'!$B$3:$G$57,MATCH('SBA Size Standards'!$G$3,'SBA Size Standards'!$B$3:$G$3,0),FALSE),"")</f>
        <v>Revenue</v>
      </c>
      <c r="CT192" s="60">
        <f>IF(CQ192="Y",IF($CS192="Employment","N/A",VLOOKUP($CM192,'SBA Size Standards'!$B$3:$G$57,MATCH('SBA Size Standards'!$E$3,'SBA Size Standards'!$B$3:$G$3,0),FALSE)),"")</f>
        <v>41500000</v>
      </c>
      <c r="CU192" s="86" t="str">
        <f>IF($CQ192="Y",IF($CS192="Revenue","N/A",VLOOKUP($CM192,'SBA Size Standards'!$B$3:$G$57,MATCH('SBA Size Standards'!$F$3,'SBA Size Standards'!$B$3:$G$3,0),FALSE)),"")</f>
        <v>N/A</v>
      </c>
      <c r="CV192" t="str">
        <f>IF($CQ192="Y",IF(OR(AND($CS192="Employment",$CL192&lt;$CU192),AND($CS192="Revenue",$CK192&lt;$CT192)),"YES","NO"),"")</f>
        <v>YES</v>
      </c>
      <c r="CW192" s="90" t="str">
        <f>IF($CQ192="Y",INDEX('SBA Size Standards'!$N$3:$N$12,MATCH($CK192,'SBA Size Standards'!$O$3:$O$12,1)),"")</f>
        <v>$1,000,001 - $5,000,000</v>
      </c>
      <c r="CX192" s="122" t="s">
        <v>4623</v>
      </c>
      <c r="CY192" s="122">
        <f>INDEX('NM O&amp;G Production'!$P$3:$P$537,MATCH(CX192,'NM O&amp;G Production'!$Q$3:$Q$537,0))</f>
        <v>196</v>
      </c>
      <c r="CZ192" s="122" t="str">
        <f>INDEX('NM O&amp;G Production'!$O$3:$O$537,MATCH(CY192,'NM O&amp;G Production'!$P$3:$P$537,0))</f>
        <v>Yes</v>
      </c>
      <c r="DA192" s="127">
        <f>INDEX('NM O&amp;G Production'!$K$3:$O$537,MATCH($CY192,'NM O&amp;G Production'!$P$3:$P$537,0),MATCH(DA$2,'NM O&amp;G Production'!$K$2:$O$2,0))</f>
        <v>12</v>
      </c>
      <c r="DB192" s="127">
        <f>INDEX('NM O&amp;G Production'!$K$3:$O$537,MATCH($CY192,'NM O&amp;G Production'!$P$3:$P$537,0),MATCH(DB$2,'NM O&amp;G Production'!$K$2:$O$2,0))</f>
        <v>6</v>
      </c>
      <c r="DC192" s="127">
        <f>DA192+DB192</f>
        <v>18</v>
      </c>
      <c r="DD192" s="127">
        <f>INDEX('NM O&amp;G Production'!$K$3:$O$537,MATCH($CY192,'NM O&amp;G Production'!$P$3:$P$537,0),MATCH(DD$2,'NM O&amp;G Production'!$K$2:$O$2,0))</f>
        <v>705952</v>
      </c>
      <c r="DE192" s="127">
        <f>INDEX('NM O&amp;G Production'!$K$3:$O$537,MATCH($CY192,'NM O&amp;G Production'!$P$3:$P$537,0),MATCH(DE$2,'NM O&amp;G Production'!$K$2:$O$2,0))</f>
        <v>145217</v>
      </c>
      <c r="DF192" s="258">
        <f>CK192/(DB192+DA192)</f>
        <v>143125.83333333334</v>
      </c>
      <c r="DG192" s="57">
        <f>DD192*(12/18)*1.06*'Oil and Gas Prices'!$C$18</f>
        <v>1192305.8645333333</v>
      </c>
      <c r="DH192" s="284">
        <f>DE192*(12/18)*'Oil and Gas Prices'!$C$4</f>
        <v>4356510</v>
      </c>
      <c r="DI192" s="284">
        <f>DG192+DH192</f>
        <v>5548815.8645333331</v>
      </c>
      <c r="DJ192" s="57">
        <f>(DG192+DH192)/(DA192+DB192)</f>
        <v>308267.54802962963</v>
      </c>
      <c r="DK192" s="319"/>
    </row>
    <row r="193" spans="1:115" x14ac:dyDescent="0.25">
      <c r="A193" t="s">
        <v>996</v>
      </c>
      <c r="B193" t="s">
        <v>997</v>
      </c>
      <c r="D193" t="s">
        <v>153</v>
      </c>
      <c r="E193" t="s">
        <v>80</v>
      </c>
      <c r="F193">
        <v>79702</v>
      </c>
      <c r="G193" t="s">
        <v>62</v>
      </c>
      <c r="I193">
        <v>132</v>
      </c>
      <c r="J193" t="s">
        <v>63</v>
      </c>
      <c r="K193" t="s">
        <v>4133</v>
      </c>
      <c r="L193" t="s">
        <v>149</v>
      </c>
      <c r="M193">
        <v>10</v>
      </c>
      <c r="N193" t="s">
        <v>998</v>
      </c>
      <c r="O193" t="s">
        <v>999</v>
      </c>
      <c r="Q193" t="s">
        <v>1000</v>
      </c>
      <c r="R193" t="s">
        <v>153</v>
      </c>
      <c r="S193" t="s">
        <v>94</v>
      </c>
      <c r="T193" t="s">
        <v>1001</v>
      </c>
      <c r="U193" t="s">
        <v>62</v>
      </c>
      <c r="V193">
        <v>4326876560</v>
      </c>
      <c r="W193" s="1">
        <v>2419707</v>
      </c>
      <c r="X193">
        <v>12</v>
      </c>
      <c r="Y193">
        <v>12</v>
      </c>
      <c r="Z193">
        <v>1994</v>
      </c>
      <c r="AA193" t="s">
        <v>70</v>
      </c>
      <c r="AB193" t="s">
        <v>1002</v>
      </c>
      <c r="AC193" t="s">
        <v>133</v>
      </c>
      <c r="AD193" t="s">
        <v>517</v>
      </c>
      <c r="AE193">
        <v>1381</v>
      </c>
      <c r="AF193" t="s">
        <v>518</v>
      </c>
      <c r="AI193">
        <v>13810000</v>
      </c>
      <c r="AJ193" t="s">
        <v>519</v>
      </c>
      <c r="AM193">
        <v>213111</v>
      </c>
      <c r="AN193" t="s">
        <v>518</v>
      </c>
      <c r="AQ193" t="s">
        <v>75</v>
      </c>
      <c r="AT193" t="s">
        <v>76</v>
      </c>
      <c r="BF193">
        <v>0</v>
      </c>
      <c r="BG193">
        <v>0</v>
      </c>
      <c r="CK193" s="19">
        <f>IF(BQ193&gt;0,BQ193,W193)</f>
        <v>2419707</v>
      </c>
      <c r="CL193" s="20">
        <f>IF(BS193&gt;0,BS193,Y193)</f>
        <v>12</v>
      </c>
      <c r="CM193" s="34">
        <f>IF(CG193&gt;0,CG193,AM193)</f>
        <v>213111</v>
      </c>
      <c r="CN193" s="80">
        <f>IF($BH193="",1,COUNTIF($BH$3:$BH193,$BH193))</f>
        <v>1</v>
      </c>
      <c r="CP193" t="str">
        <f>IF($K193="Standard Match","Match",IF($K193="Name Only Match",IF($CO193="Yes","Match","Name Only Match"),"No Match"))</f>
        <v>Match</v>
      </c>
      <c r="CQ193" s="35" t="str">
        <f>IF(AND(CP193="Match",CK193&gt;0,CL193&gt;0),"Y","N")</f>
        <v>Y</v>
      </c>
      <c r="CS193" t="str">
        <f>IF($CQ193="Y",VLOOKUP($CM193,'SBA Size Standards'!$B$3:$G$57,MATCH('SBA Size Standards'!$G$3,'SBA Size Standards'!$B$3:$G$3,0),FALSE),"")</f>
        <v>Employment</v>
      </c>
      <c r="CT193" s="60" t="str">
        <f>IF(CQ193="Y",IF($CS193="Employment","N/A",VLOOKUP($CM193,'SBA Size Standards'!$B$3:$G$57,MATCH('SBA Size Standards'!$E$3,'SBA Size Standards'!$B$3:$G$3,0),FALSE)),"")</f>
        <v>N/A</v>
      </c>
      <c r="CU193" s="86">
        <f>IF($CQ193="Y",IF($CS193="Revenue","N/A",VLOOKUP($CM193,'SBA Size Standards'!$B$3:$G$57,MATCH('SBA Size Standards'!$F$3,'SBA Size Standards'!$B$3:$G$3,0),FALSE)),"")</f>
        <v>1000</v>
      </c>
      <c r="CV193" t="str">
        <f>IF($CQ193="Y",IF(OR(AND($CS193="Employment",$CL193&lt;$CU193),AND($CS193="Revenue",$CK193&lt;$CT193)),"YES","NO"),"")</f>
        <v>YES</v>
      </c>
      <c r="CW193" s="90" t="str">
        <f>IF($CQ193="Y",INDEX('SBA Size Standards'!$N$3:$N$12,MATCH($CK193,'SBA Size Standards'!$O$3:$O$12,1)),"")</f>
        <v>$1,000,001 - $5,000,000</v>
      </c>
      <c r="CX193" s="122" t="s">
        <v>4591</v>
      </c>
      <c r="CY193" s="122">
        <f>INDEX('NM O&amp;G Production'!$P$3:$P$537,MATCH(CX193,'NM O&amp;G Production'!$Q$3:$Q$537,0))</f>
        <v>132</v>
      </c>
      <c r="CZ193" s="122" t="str">
        <f>INDEX('NM O&amp;G Production'!$O$3:$O$537,MATCH(CY193,'NM O&amp;G Production'!$P$3:$P$537,0))</f>
        <v>Yes</v>
      </c>
      <c r="DA193" s="127">
        <f>INDEX('NM O&amp;G Production'!$K$3:$O$537,MATCH($CY193,'NM O&amp;G Production'!$P$3:$P$537,0),MATCH(DA$2,'NM O&amp;G Production'!$K$2:$O$2,0))</f>
        <v>7</v>
      </c>
      <c r="DB193" s="127">
        <f>INDEX('NM O&amp;G Production'!$K$3:$O$537,MATCH($CY193,'NM O&amp;G Production'!$P$3:$P$537,0),MATCH(DB$2,'NM O&amp;G Production'!$K$2:$O$2,0))</f>
        <v>10</v>
      </c>
      <c r="DC193" s="127">
        <f>DA193+DB193</f>
        <v>17</v>
      </c>
      <c r="DD193" s="127">
        <f>INDEX('NM O&amp;G Production'!$K$3:$O$537,MATCH($CY193,'NM O&amp;G Production'!$P$3:$P$537,0),MATCH(DD$2,'NM O&amp;G Production'!$K$2:$O$2,0))</f>
        <v>275869</v>
      </c>
      <c r="DE193" s="127">
        <f>INDEX('NM O&amp;G Production'!$K$3:$O$537,MATCH($CY193,'NM O&amp;G Production'!$P$3:$P$537,0),MATCH(DE$2,'NM O&amp;G Production'!$K$2:$O$2,0))</f>
        <v>43840</v>
      </c>
      <c r="DF193" s="258">
        <f>CK193/(DB193+DA193)</f>
        <v>142335.70588235295</v>
      </c>
      <c r="DG193" s="57">
        <f>DD193*(12/18)*1.06*'Oil and Gas Prices'!$C$18</f>
        <v>465924.34973333334</v>
      </c>
      <c r="DH193" s="284">
        <f>DE193*(12/18)*'Oil and Gas Prices'!$C$4</f>
        <v>1315200</v>
      </c>
      <c r="DI193" s="284">
        <f>DG193+DH193</f>
        <v>1781124.3497333333</v>
      </c>
      <c r="DJ193" s="57">
        <f>(DG193+DH193)/(DA193+DB193)</f>
        <v>104772.02057254902</v>
      </c>
      <c r="DK193" s="319"/>
    </row>
    <row r="194" spans="1:115" x14ac:dyDescent="0.25">
      <c r="A194" t="s">
        <v>1440</v>
      </c>
      <c r="B194" t="s">
        <v>1441</v>
      </c>
      <c r="D194" t="s">
        <v>585</v>
      </c>
      <c r="E194" t="s">
        <v>184</v>
      </c>
      <c r="F194">
        <v>73114</v>
      </c>
      <c r="G194" t="s">
        <v>62</v>
      </c>
      <c r="I194">
        <v>193</v>
      </c>
      <c r="J194" t="s">
        <v>392</v>
      </c>
      <c r="K194" t="s">
        <v>4133</v>
      </c>
      <c r="L194" t="s">
        <v>64</v>
      </c>
      <c r="M194">
        <v>10</v>
      </c>
      <c r="N194" t="s">
        <v>1442</v>
      </c>
      <c r="O194" t="s">
        <v>1443</v>
      </c>
      <c r="Q194" t="s">
        <v>1444</v>
      </c>
      <c r="R194" t="s">
        <v>585</v>
      </c>
      <c r="S194" t="s">
        <v>188</v>
      </c>
      <c r="T194" t="s">
        <v>1445</v>
      </c>
      <c r="U194" t="s">
        <v>62</v>
      </c>
      <c r="V194">
        <v>4058403381</v>
      </c>
      <c r="W194" s="1">
        <v>2414627</v>
      </c>
      <c r="X194">
        <v>10</v>
      </c>
      <c r="Y194">
        <v>10</v>
      </c>
      <c r="Z194">
        <v>1991</v>
      </c>
      <c r="AA194" t="s">
        <v>70</v>
      </c>
      <c r="AB194" t="s">
        <v>1446</v>
      </c>
      <c r="AC194" t="s">
        <v>98</v>
      </c>
      <c r="AD194" t="s">
        <v>119</v>
      </c>
      <c r="AE194">
        <v>1382</v>
      </c>
      <c r="AF194" t="s">
        <v>120</v>
      </c>
      <c r="AG194">
        <v>6792</v>
      </c>
      <c r="AH194" t="s">
        <v>1447</v>
      </c>
      <c r="AI194">
        <v>13820000</v>
      </c>
      <c r="AJ194" t="s">
        <v>119</v>
      </c>
      <c r="AK194">
        <v>67929901</v>
      </c>
      <c r="AL194" t="s">
        <v>1448</v>
      </c>
      <c r="AM194">
        <v>213112</v>
      </c>
      <c r="AN194" t="s">
        <v>74</v>
      </c>
      <c r="AO194">
        <v>533110</v>
      </c>
      <c r="AP194" t="s">
        <v>1449</v>
      </c>
      <c r="AQ194" t="s">
        <v>75</v>
      </c>
      <c r="AT194" t="s">
        <v>76</v>
      </c>
      <c r="BF194">
        <v>0</v>
      </c>
      <c r="BG194">
        <v>0</v>
      </c>
      <c r="CK194" s="19">
        <f>IF(BQ194&gt;0,BQ194,W194)</f>
        <v>2414627</v>
      </c>
      <c r="CL194" s="20">
        <f>IF(BS194&gt;0,BS194,Y194)</f>
        <v>10</v>
      </c>
      <c r="CM194" s="34">
        <f>IF(CG194&gt;0,CG194,AM194)</f>
        <v>213112</v>
      </c>
      <c r="CN194" s="80">
        <f>IF($BH194="",1,COUNTIF($BH$3:$BH194,$BH194))</f>
        <v>1</v>
      </c>
      <c r="CP194" t="str">
        <f>IF($K194="Standard Match","Match",IF($K194="Name Only Match",IF($CO194="Yes","Match","Name Only Match"),"No Match"))</f>
        <v>Match</v>
      </c>
      <c r="CQ194" s="35" t="str">
        <f>IF(AND(CP194="Match",CK194&gt;0,CL194&gt;0),"Y","N")</f>
        <v>Y</v>
      </c>
      <c r="CS194" t="str">
        <f>IF($CQ194="Y",VLOOKUP($CM194,'SBA Size Standards'!$B$3:$G$57,MATCH('SBA Size Standards'!$G$3,'SBA Size Standards'!$B$3:$G$3,0),FALSE),"")</f>
        <v>Revenue</v>
      </c>
      <c r="CT194" s="60">
        <f>IF(CQ194="Y",IF($CS194="Employment","N/A",VLOOKUP($CM194,'SBA Size Standards'!$B$3:$G$57,MATCH('SBA Size Standards'!$E$3,'SBA Size Standards'!$B$3:$G$3,0),FALSE)),"")</f>
        <v>41500000</v>
      </c>
      <c r="CU194" s="86" t="str">
        <f>IF($CQ194="Y",IF($CS194="Revenue","N/A",VLOOKUP($CM194,'SBA Size Standards'!$B$3:$G$57,MATCH('SBA Size Standards'!$F$3,'SBA Size Standards'!$B$3:$G$3,0),FALSE)),"")</f>
        <v>N/A</v>
      </c>
      <c r="CV194" t="str">
        <f>IF($CQ194="Y",IF(OR(AND($CS194="Employment",$CL194&lt;$CU194),AND($CS194="Revenue",$CK194&lt;$CT194)),"YES","NO"),"")</f>
        <v>YES</v>
      </c>
      <c r="CW194" s="90" t="str">
        <f>IF($CQ194="Y",INDEX('SBA Size Standards'!$N$3:$N$12,MATCH($CK194,'SBA Size Standards'!$O$3:$O$12,1)),"")</f>
        <v>$1,000,001 - $5,000,000</v>
      </c>
      <c r="CX194" s="122" t="s">
        <v>4622</v>
      </c>
      <c r="CY194" s="122">
        <f>INDEX('NM O&amp;G Production'!$P$3:$P$537,MATCH(CX194,'NM O&amp;G Production'!$Q$3:$Q$537,0))</f>
        <v>193</v>
      </c>
      <c r="CZ194" s="122" t="str">
        <f>INDEX('NM O&amp;G Production'!$O$3:$O$537,MATCH(CY194,'NM O&amp;G Production'!$P$3:$P$537,0))</f>
        <v>Yes</v>
      </c>
      <c r="DA194" s="127">
        <f>INDEX('NM O&amp;G Production'!$K$3:$O$537,MATCH($CY194,'NM O&amp;G Production'!$P$3:$P$537,0),MATCH(DA$2,'NM O&amp;G Production'!$K$2:$O$2,0))</f>
        <v>0</v>
      </c>
      <c r="DB194" s="127">
        <f>INDEX('NM O&amp;G Production'!$K$3:$O$537,MATCH($CY194,'NM O&amp;G Production'!$P$3:$P$537,0),MATCH(DB$2,'NM O&amp;G Production'!$K$2:$O$2,0))</f>
        <v>1</v>
      </c>
      <c r="DC194" s="127">
        <f>DA194+DB194</f>
        <v>1</v>
      </c>
      <c r="DD194" s="127">
        <f>INDEX('NM O&amp;G Production'!$K$3:$O$537,MATCH($CY194,'NM O&amp;G Production'!$P$3:$P$537,0),MATCH(DD$2,'NM O&amp;G Production'!$K$2:$O$2,0))</f>
        <v>0</v>
      </c>
      <c r="DE194" s="127">
        <f>INDEX('NM O&amp;G Production'!$K$3:$O$537,MATCH($CY194,'NM O&amp;G Production'!$P$3:$P$537,0),MATCH(DE$2,'NM O&amp;G Production'!$K$2:$O$2,0))</f>
        <v>3927</v>
      </c>
      <c r="DF194" s="258">
        <f>CK194/(DB194+DA194)</f>
        <v>2414627</v>
      </c>
      <c r="DG194" s="57">
        <f>DD194*(12/18)*1.06*'Oil and Gas Prices'!$C$18</f>
        <v>0</v>
      </c>
      <c r="DH194" s="284">
        <f>DE194*(12/18)*'Oil and Gas Prices'!$C$4</f>
        <v>117810</v>
      </c>
      <c r="DI194" s="284">
        <f>DG194+DH194</f>
        <v>117810</v>
      </c>
      <c r="DJ194" s="57">
        <f>(DG194+DH194)/(DA194+DB194)</f>
        <v>117810</v>
      </c>
      <c r="DK194" s="318"/>
    </row>
    <row r="195" spans="1:115" x14ac:dyDescent="0.25">
      <c r="A195" t="s">
        <v>1266</v>
      </c>
      <c r="B195" t="s">
        <v>1267</v>
      </c>
      <c r="D195" t="s">
        <v>153</v>
      </c>
      <c r="E195" t="s">
        <v>80</v>
      </c>
      <c r="F195">
        <v>79707</v>
      </c>
      <c r="G195" t="s">
        <v>62</v>
      </c>
      <c r="I195">
        <v>166</v>
      </c>
      <c r="J195" t="s">
        <v>63</v>
      </c>
      <c r="K195" t="s">
        <v>4133</v>
      </c>
      <c r="L195" t="s">
        <v>64</v>
      </c>
      <c r="M195">
        <v>10</v>
      </c>
      <c r="N195" t="s">
        <v>1268</v>
      </c>
      <c r="O195" t="s">
        <v>1269</v>
      </c>
      <c r="Q195" t="s">
        <v>1270</v>
      </c>
      <c r="R195" t="s">
        <v>153</v>
      </c>
      <c r="S195" t="s">
        <v>94</v>
      </c>
      <c r="T195" t="s">
        <v>1271</v>
      </c>
      <c r="U195" t="s">
        <v>62</v>
      </c>
      <c r="V195">
        <v>4326871777</v>
      </c>
      <c r="W195" s="1">
        <v>2321877</v>
      </c>
      <c r="X195">
        <v>1</v>
      </c>
      <c r="Y195">
        <v>1</v>
      </c>
      <c r="Z195">
        <v>1995</v>
      </c>
      <c r="AA195" t="s">
        <v>163</v>
      </c>
      <c r="AB195" t="s">
        <v>1272</v>
      </c>
      <c r="AC195" t="s">
        <v>242</v>
      </c>
      <c r="AD195" t="s">
        <v>1273</v>
      </c>
      <c r="AE195">
        <v>6519</v>
      </c>
      <c r="AF195" t="s">
        <v>1274</v>
      </c>
      <c r="AI195">
        <v>65190000</v>
      </c>
      <c r="AJ195" t="s">
        <v>1275</v>
      </c>
      <c r="AM195">
        <v>531190</v>
      </c>
      <c r="AN195" t="s">
        <v>1276</v>
      </c>
      <c r="AQ195" t="s">
        <v>75</v>
      </c>
      <c r="AR195" t="s">
        <v>1268</v>
      </c>
      <c r="AS195" t="s">
        <v>1269</v>
      </c>
      <c r="AT195" t="s">
        <v>427</v>
      </c>
      <c r="AU195" t="s">
        <v>80</v>
      </c>
      <c r="AV195" t="s">
        <v>62</v>
      </c>
      <c r="AW195" t="s">
        <v>1268</v>
      </c>
      <c r="AX195" t="s">
        <v>1269</v>
      </c>
      <c r="AY195" t="s">
        <v>80</v>
      </c>
      <c r="AZ195" t="s">
        <v>62</v>
      </c>
      <c r="BE195" t="s">
        <v>62</v>
      </c>
      <c r="BF195">
        <v>1</v>
      </c>
      <c r="BG195">
        <v>2</v>
      </c>
      <c r="BH195" s="4" t="s">
        <v>1268</v>
      </c>
      <c r="BI195" s="4" t="s">
        <v>1269</v>
      </c>
      <c r="BK195" s="4" t="s">
        <v>1270</v>
      </c>
      <c r="BL195" s="4" t="s">
        <v>153</v>
      </c>
      <c r="BM195" s="4" t="s">
        <v>94</v>
      </c>
      <c r="BN195" s="4" t="s">
        <v>1271</v>
      </c>
      <c r="BO195" s="4" t="s">
        <v>62</v>
      </c>
      <c r="BP195" s="4">
        <v>4326871777</v>
      </c>
      <c r="BQ195" s="5">
        <v>2321877</v>
      </c>
      <c r="BR195" s="4">
        <v>1</v>
      </c>
      <c r="BS195" s="4">
        <v>1</v>
      </c>
      <c r="BT195" s="4">
        <v>1995</v>
      </c>
      <c r="BU195" s="4" t="s">
        <v>163</v>
      </c>
      <c r="BV195" s="4" t="s">
        <v>1272</v>
      </c>
      <c r="BW195" s="4" t="s">
        <v>242</v>
      </c>
      <c r="BX195" s="4" t="s">
        <v>1273</v>
      </c>
      <c r="BY195" s="4">
        <v>6519</v>
      </c>
      <c r="BZ195" s="4" t="s">
        <v>1274</v>
      </c>
      <c r="CC195" s="4">
        <v>65190000</v>
      </c>
      <c r="CD195" s="4" t="s">
        <v>1275</v>
      </c>
      <c r="CG195" s="4">
        <v>531190</v>
      </c>
      <c r="CH195" s="4" t="s">
        <v>1276</v>
      </c>
      <c r="CK195" s="19">
        <f>IF(BQ195&gt;0,BQ195,W195)</f>
        <v>2321877</v>
      </c>
      <c r="CL195" s="20">
        <f>IF(BS195&gt;0,BS195,Y195)</f>
        <v>1</v>
      </c>
      <c r="CM195" s="34">
        <f>IF(CG195&gt;0,CG195,AM195)</f>
        <v>531190</v>
      </c>
      <c r="CN195" s="80">
        <f>IF($BH195="",1,COUNTIF($BH$3:$BH195,$BH195))</f>
        <v>1</v>
      </c>
      <c r="CP195" t="str">
        <f>IF($K195="Standard Match","Match",IF($K195="Name Only Match",IF($CO195="Yes","Match","Name Only Match"),"No Match"))</f>
        <v>Match</v>
      </c>
      <c r="CQ195" s="35" t="str">
        <f>IF(AND(CP195="Match",CK195&gt;0,CL195&gt;0),"Y","N")</f>
        <v>Y</v>
      </c>
      <c r="CS195" t="str">
        <f>IF($CQ195="Y",VLOOKUP($CM195,'SBA Size Standards'!$B$3:$G$57,MATCH('SBA Size Standards'!$G$3,'SBA Size Standards'!$B$3:$G$3,0),FALSE),"")</f>
        <v>Revenue</v>
      </c>
      <c r="CT195" s="60">
        <f>IF(CQ195="Y",IF($CS195="Employment","N/A",VLOOKUP($CM195,'SBA Size Standards'!$B$3:$G$57,MATCH('SBA Size Standards'!$E$3,'SBA Size Standards'!$B$3:$G$3,0),FALSE)),"")</f>
        <v>30000000</v>
      </c>
      <c r="CU195" s="86" t="str">
        <f>IF($CQ195="Y",IF($CS195="Revenue","N/A",VLOOKUP($CM195,'SBA Size Standards'!$B$3:$G$57,MATCH('SBA Size Standards'!$F$3,'SBA Size Standards'!$B$3:$G$3,0),FALSE)),"")</f>
        <v>N/A</v>
      </c>
      <c r="CV195" t="str">
        <f>IF($CQ195="Y",IF(OR(AND($CS195="Employment",$CL195&lt;$CU195),AND($CS195="Revenue",$CK195&lt;$CT195)),"YES","NO"),"")</f>
        <v>YES</v>
      </c>
      <c r="CW195" s="90" t="str">
        <f>IF($CQ195="Y",INDEX('SBA Size Standards'!$N$3:$N$12,MATCH($CK195,'SBA Size Standards'!$O$3:$O$12,1)),"")</f>
        <v>$1,000,001 - $5,000,000</v>
      </c>
      <c r="CX195" s="122" t="s">
        <v>4607</v>
      </c>
      <c r="CY195" s="122">
        <f>INDEX('NM O&amp;G Production'!$P$3:$P$537,MATCH(CX195,'NM O&amp;G Production'!$Q$3:$Q$537,0))</f>
        <v>166</v>
      </c>
      <c r="CZ195" s="122" t="str">
        <f>INDEX('NM O&amp;G Production'!$O$3:$O$537,MATCH(CY195,'NM O&amp;G Production'!$P$3:$P$537,0))</f>
        <v>Yes</v>
      </c>
      <c r="DA195" s="127">
        <f>INDEX('NM O&amp;G Production'!$K$3:$O$537,MATCH($CY195,'NM O&amp;G Production'!$P$3:$P$537,0),MATCH(DA$2,'NM O&amp;G Production'!$K$2:$O$2,0))</f>
        <v>48</v>
      </c>
      <c r="DB195" s="127">
        <f>INDEX('NM O&amp;G Production'!$K$3:$O$537,MATCH($CY195,'NM O&amp;G Production'!$P$3:$P$537,0),MATCH(DB$2,'NM O&amp;G Production'!$K$2:$O$2,0))</f>
        <v>62</v>
      </c>
      <c r="DC195" s="127">
        <f>DA195+DB195</f>
        <v>110</v>
      </c>
      <c r="DD195" s="127">
        <f>INDEX('NM O&amp;G Production'!$K$3:$O$537,MATCH($CY195,'NM O&amp;G Production'!$P$3:$P$537,0),MATCH(DD$2,'NM O&amp;G Production'!$K$2:$O$2,0))</f>
        <v>2497805</v>
      </c>
      <c r="DE195" s="127">
        <f>INDEX('NM O&amp;G Production'!$K$3:$O$537,MATCH($CY195,'NM O&amp;G Production'!$P$3:$P$537,0),MATCH(DE$2,'NM O&amp;G Production'!$K$2:$O$2,0))</f>
        <v>587240</v>
      </c>
      <c r="DF195" s="258">
        <f>CK195/(DB195+DA195)</f>
        <v>21107.972727272729</v>
      </c>
      <c r="DG195" s="57">
        <f>DD195*(12/18)*1.06*'Oil and Gas Prices'!$C$18</f>
        <v>4218626.1246666675</v>
      </c>
      <c r="DH195" s="284">
        <f>DE195*(12/18)*'Oil and Gas Prices'!$C$4</f>
        <v>17617200</v>
      </c>
      <c r="DI195" s="284">
        <f>DG195+DH195</f>
        <v>21835826.124666668</v>
      </c>
      <c r="DJ195" s="57">
        <f>(DG195+DH195)/(DA195+DB195)</f>
        <v>198507.51022424243</v>
      </c>
      <c r="DK195" s="318"/>
    </row>
    <row r="196" spans="1:115" x14ac:dyDescent="0.25">
      <c r="A196" t="s">
        <v>2935</v>
      </c>
      <c r="B196" t="s">
        <v>2936</v>
      </c>
      <c r="D196" t="s">
        <v>148</v>
      </c>
      <c r="E196" t="s">
        <v>80</v>
      </c>
      <c r="F196">
        <v>76102</v>
      </c>
      <c r="G196" t="s">
        <v>62</v>
      </c>
      <c r="I196">
        <v>427</v>
      </c>
      <c r="J196" t="s">
        <v>63</v>
      </c>
      <c r="K196" t="s">
        <v>4133</v>
      </c>
      <c r="L196" t="s">
        <v>64</v>
      </c>
      <c r="M196">
        <v>10</v>
      </c>
      <c r="N196" t="s">
        <v>2937</v>
      </c>
      <c r="O196" t="s">
        <v>2938</v>
      </c>
      <c r="Q196" t="s">
        <v>2939</v>
      </c>
      <c r="R196" t="s">
        <v>88</v>
      </c>
      <c r="S196" t="s">
        <v>94</v>
      </c>
      <c r="T196" t="s">
        <v>2940</v>
      </c>
      <c r="U196" t="s">
        <v>62</v>
      </c>
      <c r="V196">
        <v>8173321377</v>
      </c>
      <c r="W196" s="1">
        <v>2308104</v>
      </c>
      <c r="X196">
        <v>7</v>
      </c>
      <c r="Y196">
        <v>7</v>
      </c>
      <c r="Z196">
        <v>1976</v>
      </c>
      <c r="AA196" t="s">
        <v>70</v>
      </c>
      <c r="AB196" t="s">
        <v>2941</v>
      </c>
      <c r="AC196" t="s">
        <v>483</v>
      </c>
      <c r="AD196" t="s">
        <v>99</v>
      </c>
      <c r="AE196">
        <v>1311</v>
      </c>
      <c r="AF196" t="s">
        <v>100</v>
      </c>
      <c r="AI196">
        <v>13110101</v>
      </c>
      <c r="AJ196" t="s">
        <v>102</v>
      </c>
      <c r="AM196">
        <v>211120</v>
      </c>
      <c r="AN196" t="s">
        <v>104</v>
      </c>
      <c r="AQ196" t="s">
        <v>75</v>
      </c>
      <c r="AT196" t="s">
        <v>76</v>
      </c>
      <c r="BF196">
        <v>0</v>
      </c>
      <c r="BG196">
        <v>0</v>
      </c>
      <c r="CK196" s="19">
        <f>IF(BQ196&gt;0,BQ196,W196)</f>
        <v>2308104</v>
      </c>
      <c r="CL196" s="20">
        <f>IF(BS196&gt;0,BS196,Y196)</f>
        <v>7</v>
      </c>
      <c r="CM196" s="34">
        <f>IF(CG196&gt;0,CG196,AM196)</f>
        <v>211120</v>
      </c>
      <c r="CN196" s="80">
        <f>IF($BH196="",1,COUNTIF($BH$3:$BH196,$BH196))</f>
        <v>1</v>
      </c>
      <c r="CP196" t="str">
        <f>IF($K196="Standard Match","Match",IF($K196="Name Only Match",IF($CO196="Yes","Match","Name Only Match"),"No Match"))</f>
        <v>Match</v>
      </c>
      <c r="CQ196" s="35" t="str">
        <f>IF(AND(CP196="Match",CK196&gt;0,CL196&gt;0),"Y","N")</f>
        <v>Y</v>
      </c>
      <c r="CS196" t="str">
        <f>IF($CQ196="Y",VLOOKUP($CM196,'SBA Size Standards'!$B$3:$G$57,MATCH('SBA Size Standards'!$G$3,'SBA Size Standards'!$B$3:$G$3,0),FALSE),"")</f>
        <v>Employment</v>
      </c>
      <c r="CT196" s="60" t="str">
        <f>IF(CQ196="Y",IF($CS196="Employment","N/A",VLOOKUP($CM196,'SBA Size Standards'!$B$3:$G$57,MATCH('SBA Size Standards'!$E$3,'SBA Size Standards'!$B$3:$G$3,0),FALSE)),"")</f>
        <v>N/A</v>
      </c>
      <c r="CU196" s="86">
        <f>IF($CQ196="Y",IF($CS196="Revenue","N/A",VLOOKUP($CM196,'SBA Size Standards'!$B$3:$G$57,MATCH('SBA Size Standards'!$F$3,'SBA Size Standards'!$B$3:$G$3,0),FALSE)),"")</f>
        <v>1250</v>
      </c>
      <c r="CV196" t="str">
        <f>IF($CQ196="Y",IF(OR(AND($CS196="Employment",$CL196&lt;$CU196),AND($CS196="Revenue",$CK196&lt;$CT196)),"YES","NO"),"")</f>
        <v>YES</v>
      </c>
      <c r="CW196" s="90" t="str">
        <f>IF($CQ196="Y",INDEX('SBA Size Standards'!$N$3:$N$12,MATCH($CK196,'SBA Size Standards'!$O$3:$O$12,1)),"")</f>
        <v>$1,000,001 - $5,000,000</v>
      </c>
      <c r="CX196" s="122" t="s">
        <v>4738</v>
      </c>
      <c r="CY196" s="122">
        <f>INDEX('NM O&amp;G Production'!$P$3:$P$537,MATCH(CX196,'NM O&amp;G Production'!$Q$3:$Q$537,0))</f>
        <v>427</v>
      </c>
      <c r="CZ196" s="122" t="str">
        <f>INDEX('NM O&amp;G Production'!$O$3:$O$537,MATCH(CY196,'NM O&amp;G Production'!$P$3:$P$537,0))</f>
        <v>Yes</v>
      </c>
      <c r="DA196" s="127">
        <f>INDEX('NM O&amp;G Production'!$K$3:$O$537,MATCH($CY196,'NM O&amp;G Production'!$P$3:$P$537,0),MATCH(DA$2,'NM O&amp;G Production'!$K$2:$O$2,0))</f>
        <v>3</v>
      </c>
      <c r="DB196" s="127">
        <f>INDEX('NM O&amp;G Production'!$K$3:$O$537,MATCH($CY196,'NM O&amp;G Production'!$P$3:$P$537,0),MATCH(DB$2,'NM O&amp;G Production'!$K$2:$O$2,0))</f>
        <v>55</v>
      </c>
      <c r="DC196" s="127">
        <f>DA196+DB196</f>
        <v>58</v>
      </c>
      <c r="DD196" s="127">
        <f>INDEX('NM O&amp;G Production'!$K$3:$O$537,MATCH($CY196,'NM O&amp;G Production'!$P$3:$P$537,0),MATCH(DD$2,'NM O&amp;G Production'!$K$2:$O$2,0))</f>
        <v>111587</v>
      </c>
      <c r="DE196" s="127">
        <f>INDEX('NM O&amp;G Production'!$K$3:$O$537,MATCH($CY196,'NM O&amp;G Production'!$P$3:$P$537,0),MATCH(DE$2,'NM O&amp;G Production'!$K$2:$O$2,0))</f>
        <v>64703</v>
      </c>
      <c r="DF196" s="258">
        <f>CK196/(DB196+DA196)</f>
        <v>39794.896551724138</v>
      </c>
      <c r="DG196" s="57">
        <f>DD196*(12/18)*1.06*'Oil and Gas Prices'!$C$18</f>
        <v>188463.0038666667</v>
      </c>
      <c r="DH196" s="284">
        <f>DE196*(12/18)*'Oil and Gas Prices'!$C$4</f>
        <v>1941089.9999999998</v>
      </c>
      <c r="DI196" s="284">
        <f>DG196+DH196</f>
        <v>2129553.0038666665</v>
      </c>
      <c r="DJ196" s="57">
        <f>(DG196+DH196)/(DA196+DB196)</f>
        <v>36716.431101149421</v>
      </c>
      <c r="DK196" s="318"/>
    </row>
    <row r="197" spans="1:115" x14ac:dyDescent="0.25">
      <c r="A197" t="s">
        <v>1360</v>
      </c>
      <c r="B197" t="s">
        <v>1361</v>
      </c>
      <c r="D197" t="s">
        <v>161</v>
      </c>
      <c r="E197" t="s">
        <v>80</v>
      </c>
      <c r="F197">
        <v>77380</v>
      </c>
      <c r="G197" t="s">
        <v>62</v>
      </c>
      <c r="I197">
        <v>180</v>
      </c>
      <c r="J197" t="s">
        <v>63</v>
      </c>
      <c r="K197" t="s">
        <v>4134</v>
      </c>
      <c r="L197" t="s">
        <v>3627</v>
      </c>
      <c r="M197">
        <v>8</v>
      </c>
      <c r="N197" t="s">
        <v>3866</v>
      </c>
      <c r="O197" t="s">
        <v>3867</v>
      </c>
      <c r="Q197" t="s">
        <v>3868</v>
      </c>
      <c r="R197" t="s">
        <v>183</v>
      </c>
      <c r="S197" t="s">
        <v>188</v>
      </c>
      <c r="T197" t="s">
        <v>3869</v>
      </c>
      <c r="U197" t="s">
        <v>62</v>
      </c>
      <c r="V197">
        <v>9184924450</v>
      </c>
      <c r="W197" s="1">
        <v>18934115</v>
      </c>
      <c r="X197">
        <v>11</v>
      </c>
      <c r="Y197">
        <v>31</v>
      </c>
      <c r="Z197">
        <v>2003</v>
      </c>
      <c r="AA197" t="s">
        <v>163</v>
      </c>
      <c r="AB197" t="s">
        <v>3870</v>
      </c>
      <c r="AC197" t="s">
        <v>133</v>
      </c>
      <c r="AD197" t="s">
        <v>1235</v>
      </c>
      <c r="AE197">
        <v>4911</v>
      </c>
      <c r="AF197" t="s">
        <v>1236</v>
      </c>
      <c r="AI197">
        <v>49110000</v>
      </c>
      <c r="AJ197" t="s">
        <v>1237</v>
      </c>
      <c r="AM197">
        <v>221118</v>
      </c>
      <c r="AN197" t="s">
        <v>1238</v>
      </c>
      <c r="AQ197" t="s">
        <v>168</v>
      </c>
      <c r="AR197" t="s">
        <v>3871</v>
      </c>
      <c r="AS197" t="s">
        <v>3872</v>
      </c>
      <c r="AT197" t="s">
        <v>76</v>
      </c>
      <c r="AU197" t="s">
        <v>80</v>
      </c>
      <c r="AV197" t="s">
        <v>62</v>
      </c>
      <c r="AW197" t="s">
        <v>3871</v>
      </c>
      <c r="AX197" t="s">
        <v>3872</v>
      </c>
      <c r="AY197" t="s">
        <v>80</v>
      </c>
      <c r="AZ197" t="s">
        <v>62</v>
      </c>
      <c r="BA197" t="s">
        <v>3873</v>
      </c>
      <c r="BC197" t="s">
        <v>3874</v>
      </c>
      <c r="BD197" t="s">
        <v>80</v>
      </c>
      <c r="BE197" t="s">
        <v>62</v>
      </c>
      <c r="BF197">
        <v>3</v>
      </c>
      <c r="BG197">
        <v>7</v>
      </c>
      <c r="BH197" s="4" t="s">
        <v>3871</v>
      </c>
      <c r="BI197" s="4" t="s">
        <v>3872</v>
      </c>
      <c r="BK197" s="4" t="s">
        <v>4315</v>
      </c>
      <c r="BL197" s="4" t="s">
        <v>161</v>
      </c>
      <c r="BM197" s="4" t="s">
        <v>94</v>
      </c>
      <c r="BN197" s="4" t="s">
        <v>4316</v>
      </c>
      <c r="BO197" s="4" t="s">
        <v>62</v>
      </c>
      <c r="BP197" s="4">
        <v>3463512787</v>
      </c>
      <c r="BQ197" s="5">
        <v>2118769</v>
      </c>
      <c r="BR197" s="4">
        <v>0</v>
      </c>
      <c r="BS197" s="4">
        <v>31</v>
      </c>
      <c r="BT197" s="4">
        <v>2017</v>
      </c>
      <c r="BU197" s="4" t="s">
        <v>163</v>
      </c>
      <c r="BV197" s="4" t="s">
        <v>4317</v>
      </c>
      <c r="BW197" s="4" t="s">
        <v>98</v>
      </c>
      <c r="BX197" s="4" t="s">
        <v>1408</v>
      </c>
      <c r="BY197" s="4">
        <v>6719</v>
      </c>
      <c r="BZ197" s="4" t="s">
        <v>1409</v>
      </c>
      <c r="CA197" s="4">
        <v>1321</v>
      </c>
      <c r="CB197" s="4" t="s">
        <v>3645</v>
      </c>
      <c r="CC197" s="4">
        <v>67199902</v>
      </c>
      <c r="CD197" s="4" t="s">
        <v>3509</v>
      </c>
      <c r="CE197" s="4">
        <v>13219908</v>
      </c>
      <c r="CF197" s="4" t="s">
        <v>4318</v>
      </c>
      <c r="CG197" s="4">
        <v>551112</v>
      </c>
      <c r="CH197" s="4" t="s">
        <v>1411</v>
      </c>
      <c r="CI197" s="4">
        <v>211130</v>
      </c>
      <c r="CJ197" s="4" t="s">
        <v>3647</v>
      </c>
      <c r="CK197" s="19">
        <f>IF(BQ197&gt;0,BQ197,W197)</f>
        <v>2118769</v>
      </c>
      <c r="CL197" s="20">
        <f>IF(BS197&gt;0,BS197,Y197)</f>
        <v>31</v>
      </c>
      <c r="CM197" s="34">
        <f>IF(CG197&gt;0,CG197,AM197)</f>
        <v>551112</v>
      </c>
      <c r="CN197" s="80">
        <f>IF($BH197="",1,COUNTIF($BH$3:$BH197,$BH197))</f>
        <v>1</v>
      </c>
      <c r="CO197" s="33" t="s">
        <v>4386</v>
      </c>
      <c r="CP197" t="str">
        <f>IF($K197="Standard Match","Match",IF($K197="Name Only Match",IF($CO197="Yes","Match","Name Only Match"),"No Match"))</f>
        <v>Match</v>
      </c>
      <c r="CQ197" s="35" t="str">
        <f>IF(AND(CP197="Match",CK197&gt;0,CL197&gt;0),"Y","N")</f>
        <v>Y</v>
      </c>
      <c r="CS197" t="str">
        <f>IF($CQ197="Y",VLOOKUP($CM197,'SBA Size Standards'!$B$3:$G$57,MATCH('SBA Size Standards'!$G$3,'SBA Size Standards'!$B$3:$G$3,0),FALSE),"")</f>
        <v>Revenue</v>
      </c>
      <c r="CT197" s="60">
        <f>IF(CQ197="Y",IF($CS197="Employment","N/A",VLOOKUP($CM197,'SBA Size Standards'!$B$3:$G$57,MATCH('SBA Size Standards'!$E$3,'SBA Size Standards'!$B$3:$G$3,0),FALSE)),"")</f>
        <v>22000000</v>
      </c>
      <c r="CU197" s="86" t="str">
        <f>IF($CQ197="Y",IF($CS197="Revenue","N/A",VLOOKUP($CM197,'SBA Size Standards'!$B$3:$G$57,MATCH('SBA Size Standards'!$F$3,'SBA Size Standards'!$B$3:$G$3,0),FALSE)),"")</f>
        <v>N/A</v>
      </c>
      <c r="CV197" t="str">
        <f>IF($CQ197="Y",IF(OR(AND($CS197="Employment",$CL197&lt;$CU197),AND($CS197="Revenue",$CK197&lt;$CT197)),"YES","NO"),"")</f>
        <v>YES</v>
      </c>
      <c r="CW197" s="90" t="str">
        <f>IF($CQ197="Y",INDEX('SBA Size Standards'!$N$3:$N$12,MATCH($CK197,'SBA Size Standards'!$O$3:$O$12,1)),"")</f>
        <v>$1,000,001 - $5,000,000</v>
      </c>
      <c r="CX197" s="122" t="s">
        <v>4961</v>
      </c>
      <c r="CY197" s="122">
        <f>INDEX('NM O&amp;G Production'!$P$3:$P$537,MATCH(CX197,'NM O&amp;G Production'!$Q$3:$Q$537,0))</f>
        <v>180</v>
      </c>
      <c r="CZ197" s="122" t="str">
        <f>INDEX('NM O&amp;G Production'!$O$3:$O$537,MATCH(CY197,'NM O&amp;G Production'!$P$3:$P$537,0))</f>
        <v>No</v>
      </c>
      <c r="DA197" s="127">
        <f>INDEX('NM O&amp;G Production'!$K$3:$O$537,MATCH($CY197,'NM O&amp;G Production'!$P$3:$P$537,0),MATCH(DA$2,'NM O&amp;G Production'!$K$2:$O$2,0))</f>
        <v>0</v>
      </c>
      <c r="DB197" s="127">
        <f>INDEX('NM O&amp;G Production'!$K$3:$O$537,MATCH($CY197,'NM O&amp;G Production'!$P$3:$P$537,0),MATCH(DB$2,'NM O&amp;G Production'!$K$2:$O$2,0))</f>
        <v>0</v>
      </c>
      <c r="DC197" s="127"/>
      <c r="DD197" s="127">
        <f>INDEX('NM O&amp;G Production'!$K$3:$O$537,MATCH($CY197,'NM O&amp;G Production'!$P$3:$P$537,0),MATCH(DD$2,'NM O&amp;G Production'!$K$2:$O$2,0))</f>
        <v>0</v>
      </c>
      <c r="DE197" s="127">
        <f>INDEX('NM O&amp;G Production'!$K$3:$O$537,MATCH($CY197,'NM O&amp;G Production'!$P$3:$P$537,0),MATCH(DE$2,'NM O&amp;G Production'!$K$2:$O$2,0))</f>
        <v>0</v>
      </c>
      <c r="DF197" s="258" t="e">
        <f>CK197/(DB197+DA197)</f>
        <v>#DIV/0!</v>
      </c>
      <c r="DG197" s="57">
        <f>DD197*(12/18)*1.06*'Oil and Gas Prices'!$C$18</f>
        <v>0</v>
      </c>
      <c r="DH197" s="284">
        <f>DE197*(12/18)*'Oil and Gas Prices'!$C$4</f>
        <v>0</v>
      </c>
      <c r="DI197" s="284"/>
      <c r="DJ197" s="57" t="e">
        <f>(DG197+DH197)/(DA197+DB197)</f>
        <v>#DIV/0!</v>
      </c>
      <c r="DK197" s="18" t="e">
        <f>CK197/DI197</f>
        <v>#DIV/0!</v>
      </c>
    </row>
    <row r="198" spans="1:115" x14ac:dyDescent="0.25">
      <c r="A198" t="s">
        <v>2577</v>
      </c>
      <c r="B198" t="s">
        <v>2578</v>
      </c>
      <c r="D198" t="s">
        <v>378</v>
      </c>
      <c r="E198" t="s">
        <v>80</v>
      </c>
      <c r="F198">
        <v>75240</v>
      </c>
      <c r="G198" t="s">
        <v>62</v>
      </c>
      <c r="I198">
        <v>371</v>
      </c>
      <c r="J198" t="s">
        <v>63</v>
      </c>
      <c r="K198" t="s">
        <v>4133</v>
      </c>
      <c r="L198" t="s">
        <v>64</v>
      </c>
      <c r="M198">
        <v>10</v>
      </c>
      <c r="N198" t="s">
        <v>2579</v>
      </c>
      <c r="O198" t="s">
        <v>2580</v>
      </c>
      <c r="Q198" t="s">
        <v>2581</v>
      </c>
      <c r="R198" t="s">
        <v>378</v>
      </c>
      <c r="S198" t="s">
        <v>94</v>
      </c>
      <c r="T198" t="s">
        <v>2582</v>
      </c>
      <c r="U198" t="s">
        <v>62</v>
      </c>
      <c r="V198">
        <v>9727201475</v>
      </c>
      <c r="W198" s="1">
        <v>1980000</v>
      </c>
      <c r="X198">
        <v>34</v>
      </c>
      <c r="Y198">
        <v>34</v>
      </c>
      <c r="Z198">
        <v>1972</v>
      </c>
      <c r="AA198" t="s">
        <v>70</v>
      </c>
      <c r="AB198" t="s">
        <v>2583</v>
      </c>
      <c r="AC198" t="s">
        <v>98</v>
      </c>
      <c r="AD198" t="s">
        <v>99</v>
      </c>
      <c r="AE198">
        <v>1311</v>
      </c>
      <c r="AF198" t="s">
        <v>100</v>
      </c>
      <c r="AG198">
        <v>8742</v>
      </c>
      <c r="AH198" t="s">
        <v>506</v>
      </c>
      <c r="AI198">
        <v>13110101</v>
      </c>
      <c r="AJ198" t="s">
        <v>102</v>
      </c>
      <c r="AK198">
        <v>87429904</v>
      </c>
      <c r="AL198" t="s">
        <v>2584</v>
      </c>
      <c r="AM198">
        <v>211120</v>
      </c>
      <c r="AN198" t="s">
        <v>104</v>
      </c>
      <c r="AO198">
        <v>541611</v>
      </c>
      <c r="AP198" t="s">
        <v>510</v>
      </c>
      <c r="AQ198" t="s">
        <v>75</v>
      </c>
      <c r="AT198" t="s">
        <v>76</v>
      </c>
      <c r="BF198">
        <v>0</v>
      </c>
      <c r="BG198">
        <v>0</v>
      </c>
      <c r="CK198" s="19">
        <f>IF(BQ198&gt;0,BQ198,W198)</f>
        <v>1980000</v>
      </c>
      <c r="CL198" s="20">
        <f>IF(BS198&gt;0,BS198,Y198)</f>
        <v>34</v>
      </c>
      <c r="CM198" s="34">
        <f>IF(CG198&gt;0,CG198,AM198)</f>
        <v>211120</v>
      </c>
      <c r="CN198" s="80">
        <f>IF($BH198="",1,COUNTIF($BH$3:$BH198,$BH198))</f>
        <v>1</v>
      </c>
      <c r="CP198" t="str">
        <f>IF($K198="Standard Match","Match",IF($K198="Name Only Match",IF($CO198="Yes","Match","Name Only Match"),"No Match"))</f>
        <v>Match</v>
      </c>
      <c r="CQ198" s="35" t="str">
        <f>IF(AND(CP198="Match",CK198&gt;0,CL198&gt;0),"Y","N")</f>
        <v>Y</v>
      </c>
      <c r="CS198" t="str">
        <f>IF($CQ198="Y",VLOOKUP($CM198,'SBA Size Standards'!$B$3:$G$57,MATCH('SBA Size Standards'!$G$3,'SBA Size Standards'!$B$3:$G$3,0),FALSE),"")</f>
        <v>Employment</v>
      </c>
      <c r="CT198" s="60" t="str">
        <f>IF(CQ198="Y",IF($CS198="Employment","N/A",VLOOKUP($CM198,'SBA Size Standards'!$B$3:$G$57,MATCH('SBA Size Standards'!$E$3,'SBA Size Standards'!$B$3:$G$3,0),FALSE)),"")</f>
        <v>N/A</v>
      </c>
      <c r="CU198" s="86">
        <f>IF($CQ198="Y",IF($CS198="Revenue","N/A",VLOOKUP($CM198,'SBA Size Standards'!$B$3:$G$57,MATCH('SBA Size Standards'!$F$3,'SBA Size Standards'!$B$3:$G$3,0),FALSE)),"")</f>
        <v>1250</v>
      </c>
      <c r="CV198" t="str">
        <f>IF($CQ198="Y",IF(OR(AND($CS198="Employment",$CL198&lt;$CU198),AND($CS198="Revenue",$CK198&lt;$CT198)),"YES","NO"),"")</f>
        <v>YES</v>
      </c>
      <c r="CW198" s="90" t="str">
        <f>IF($CQ198="Y",INDEX('SBA Size Standards'!$N$3:$N$12,MATCH($CK198,'SBA Size Standards'!$O$3:$O$12,1)),"")</f>
        <v>$1,000,001 - $5,000,000</v>
      </c>
      <c r="CX198" s="122" t="s">
        <v>4707</v>
      </c>
      <c r="CY198" s="122">
        <f>INDEX('NM O&amp;G Production'!$P$3:$P$537,MATCH(CX198,'NM O&amp;G Production'!$Q$3:$Q$537,0))</f>
        <v>371</v>
      </c>
      <c r="CZ198" s="122" t="str">
        <f>INDEX('NM O&amp;G Production'!$O$3:$O$537,MATCH(CY198,'NM O&amp;G Production'!$P$3:$P$537,0))</f>
        <v>Yes</v>
      </c>
      <c r="DA198" s="127">
        <f>INDEX('NM O&amp;G Production'!$K$3:$O$537,MATCH($CY198,'NM O&amp;G Production'!$P$3:$P$537,0),MATCH(DA$2,'NM O&amp;G Production'!$K$2:$O$2,0))</f>
        <v>1</v>
      </c>
      <c r="DB198" s="127">
        <f>INDEX('NM O&amp;G Production'!$K$3:$O$537,MATCH($CY198,'NM O&amp;G Production'!$P$3:$P$537,0),MATCH(DB$2,'NM O&amp;G Production'!$K$2:$O$2,0))</f>
        <v>2</v>
      </c>
      <c r="DC198" s="127">
        <f>DA198+DB198</f>
        <v>3</v>
      </c>
      <c r="DD198" s="127">
        <f>INDEX('NM O&amp;G Production'!$K$3:$O$537,MATCH($CY198,'NM O&amp;G Production'!$P$3:$P$537,0),MATCH(DD$2,'NM O&amp;G Production'!$K$2:$O$2,0))</f>
        <v>58071</v>
      </c>
      <c r="DE198" s="127">
        <f>INDEX('NM O&amp;G Production'!$K$3:$O$537,MATCH($CY198,'NM O&amp;G Production'!$P$3:$P$537,0),MATCH(DE$2,'NM O&amp;G Production'!$K$2:$O$2,0))</f>
        <v>127</v>
      </c>
      <c r="DF198" s="258">
        <f>CK198/(DB198+DA198)</f>
        <v>660000</v>
      </c>
      <c r="DG198" s="57">
        <f>DD198*(12/18)*1.06*'Oil and Gas Prices'!$C$18</f>
        <v>98078.04760000002</v>
      </c>
      <c r="DH198" s="284">
        <f>DE198*(12/18)*'Oil and Gas Prices'!$C$4</f>
        <v>3809.9999999999995</v>
      </c>
      <c r="DI198" s="284">
        <f>DG198+DH198</f>
        <v>101888.04760000002</v>
      </c>
      <c r="DJ198" s="57">
        <f>(DG198+DH198)/(DA198+DB198)</f>
        <v>33962.68253333334</v>
      </c>
      <c r="DK198" s="319"/>
    </row>
    <row r="199" spans="1:115" x14ac:dyDescent="0.25">
      <c r="A199" t="s">
        <v>1486</v>
      </c>
      <c r="B199" t="s">
        <v>1487</v>
      </c>
      <c r="D199" t="s">
        <v>112</v>
      </c>
      <c r="E199" t="s">
        <v>80</v>
      </c>
      <c r="F199">
        <v>77002</v>
      </c>
      <c r="G199" t="s">
        <v>62</v>
      </c>
      <c r="I199">
        <v>201</v>
      </c>
      <c r="J199" t="s">
        <v>63</v>
      </c>
      <c r="K199" t="s">
        <v>4133</v>
      </c>
      <c r="L199" t="s">
        <v>64</v>
      </c>
      <c r="M199">
        <v>10</v>
      </c>
      <c r="N199" t="s">
        <v>1488</v>
      </c>
      <c r="O199" t="s">
        <v>1489</v>
      </c>
      <c r="Q199" t="s">
        <v>1490</v>
      </c>
      <c r="R199" t="s">
        <v>112</v>
      </c>
      <c r="S199" t="s">
        <v>94</v>
      </c>
      <c r="T199" t="s">
        <v>1491</v>
      </c>
      <c r="U199" t="s">
        <v>62</v>
      </c>
      <c r="V199">
        <v>8303343280</v>
      </c>
      <c r="W199" s="1">
        <v>1974983</v>
      </c>
      <c r="X199">
        <v>17</v>
      </c>
      <c r="Y199">
        <v>17</v>
      </c>
      <c r="Z199">
        <v>2010</v>
      </c>
      <c r="AA199" t="s">
        <v>70</v>
      </c>
      <c r="AB199" t="s">
        <v>1492</v>
      </c>
      <c r="AC199" t="s">
        <v>231</v>
      </c>
      <c r="AD199" t="s">
        <v>119</v>
      </c>
      <c r="AE199">
        <v>1382</v>
      </c>
      <c r="AF199" t="s">
        <v>120</v>
      </c>
      <c r="AI199">
        <v>13820000</v>
      </c>
      <c r="AJ199" t="s">
        <v>119</v>
      </c>
      <c r="AM199">
        <v>213112</v>
      </c>
      <c r="AN199" t="s">
        <v>74</v>
      </c>
      <c r="AQ199" t="s">
        <v>75</v>
      </c>
      <c r="AT199" t="s">
        <v>76</v>
      </c>
      <c r="BF199">
        <v>0</v>
      </c>
      <c r="BG199">
        <v>0</v>
      </c>
      <c r="CK199" s="19">
        <f>IF(BQ199&gt;0,BQ199,W199)</f>
        <v>1974983</v>
      </c>
      <c r="CL199" s="20">
        <f>IF(BS199&gt;0,BS199,Y199)</f>
        <v>17</v>
      </c>
      <c r="CM199" s="34">
        <f>IF(CG199&gt;0,CG199,AM199)</f>
        <v>213112</v>
      </c>
      <c r="CN199" s="80">
        <f>IF($BH199="",1,COUNTIF($BH$3:$BH199,$BH199))</f>
        <v>1</v>
      </c>
      <c r="CP199" t="str">
        <f>IF($K199="Standard Match","Match",IF($K199="Name Only Match",IF($CO199="Yes","Match","Name Only Match"),"No Match"))</f>
        <v>Match</v>
      </c>
      <c r="CQ199" s="35" t="str">
        <f>IF(AND(CP199="Match",CK199&gt;0,CL199&gt;0),"Y","N")</f>
        <v>Y</v>
      </c>
      <c r="CS199" t="str">
        <f>IF($CQ199="Y",VLOOKUP($CM199,'SBA Size Standards'!$B$3:$G$57,MATCH('SBA Size Standards'!$G$3,'SBA Size Standards'!$B$3:$G$3,0),FALSE),"")</f>
        <v>Revenue</v>
      </c>
      <c r="CT199" s="60">
        <f>IF(CQ199="Y",IF($CS199="Employment","N/A",VLOOKUP($CM199,'SBA Size Standards'!$B$3:$G$57,MATCH('SBA Size Standards'!$E$3,'SBA Size Standards'!$B$3:$G$3,0),FALSE)),"")</f>
        <v>41500000</v>
      </c>
      <c r="CU199" s="86" t="str">
        <f>IF($CQ199="Y",IF($CS199="Revenue","N/A",VLOOKUP($CM199,'SBA Size Standards'!$B$3:$G$57,MATCH('SBA Size Standards'!$F$3,'SBA Size Standards'!$B$3:$G$3,0),FALSE)),"")</f>
        <v>N/A</v>
      </c>
      <c r="CV199" t="str">
        <f>IF($CQ199="Y",IF(OR(AND($CS199="Employment",$CL199&lt;$CU199),AND($CS199="Revenue",$CK199&lt;$CT199)),"YES","NO"),"")</f>
        <v>YES</v>
      </c>
      <c r="CW199" s="90" t="str">
        <f>IF($CQ199="Y",INDEX('SBA Size Standards'!$N$3:$N$12,MATCH($CK199,'SBA Size Standards'!$O$3:$O$12,1)),"")</f>
        <v>$1,000,001 - $5,000,000</v>
      </c>
      <c r="CX199" s="122" t="s">
        <v>4627</v>
      </c>
      <c r="CY199" s="122">
        <f>INDEX('NM O&amp;G Production'!$P$3:$P$537,MATCH(CX199,'NM O&amp;G Production'!$Q$3:$Q$537,0))</f>
        <v>201</v>
      </c>
      <c r="CZ199" s="122" t="str">
        <f>INDEX('NM O&amp;G Production'!$O$3:$O$537,MATCH(CY199,'NM O&amp;G Production'!$P$3:$P$537,0))</f>
        <v>No</v>
      </c>
      <c r="DA199" s="127">
        <f>INDEX('NM O&amp;G Production'!$K$3:$O$537,MATCH($CY199,'NM O&amp;G Production'!$P$3:$P$537,0),MATCH(DA$2,'NM O&amp;G Production'!$K$2:$O$2,0))</f>
        <v>0</v>
      </c>
      <c r="DB199" s="127">
        <f>INDEX('NM O&amp;G Production'!$K$3:$O$537,MATCH($CY199,'NM O&amp;G Production'!$P$3:$P$537,0),MATCH(DB$2,'NM O&amp;G Production'!$K$2:$O$2,0))</f>
        <v>0</v>
      </c>
      <c r="DC199" s="127"/>
      <c r="DD199" s="127">
        <f>INDEX('NM O&amp;G Production'!$K$3:$O$537,MATCH($CY199,'NM O&amp;G Production'!$P$3:$P$537,0),MATCH(DD$2,'NM O&amp;G Production'!$K$2:$O$2,0))</f>
        <v>0</v>
      </c>
      <c r="DE199" s="127">
        <f>INDEX('NM O&amp;G Production'!$K$3:$O$537,MATCH($CY199,'NM O&amp;G Production'!$P$3:$P$537,0),MATCH(DE$2,'NM O&amp;G Production'!$K$2:$O$2,0))</f>
        <v>0</v>
      </c>
      <c r="DF199" s="258" t="e">
        <f>CK199/(DB199+DA199)</f>
        <v>#DIV/0!</v>
      </c>
      <c r="DG199" s="57">
        <f>DD199*(12/18)*1.06*'Oil and Gas Prices'!$C$18</f>
        <v>0</v>
      </c>
      <c r="DH199" s="284">
        <f>DE199*(12/18)*'Oil and Gas Prices'!$C$4</f>
        <v>0</v>
      </c>
      <c r="DI199" s="284"/>
      <c r="DJ199" s="57" t="e">
        <f>(DG199+DH199)/(DA199+DB199)</f>
        <v>#DIV/0!</v>
      </c>
      <c r="DK199" s="18" t="e">
        <f>CK199/DI199</f>
        <v>#DIV/0!</v>
      </c>
    </row>
    <row r="200" spans="1:115" x14ac:dyDescent="0.25">
      <c r="A200" t="s">
        <v>1349</v>
      </c>
      <c r="B200" t="s">
        <v>1350</v>
      </c>
      <c r="D200" t="s">
        <v>60</v>
      </c>
      <c r="E200" t="s">
        <v>61</v>
      </c>
      <c r="F200">
        <v>80206</v>
      </c>
      <c r="G200" t="s">
        <v>62</v>
      </c>
      <c r="I200">
        <v>178</v>
      </c>
      <c r="J200" t="s">
        <v>63</v>
      </c>
      <c r="K200" t="s">
        <v>4133</v>
      </c>
      <c r="L200" t="s">
        <v>64</v>
      </c>
      <c r="M200">
        <v>10</v>
      </c>
      <c r="N200" t="s">
        <v>1351</v>
      </c>
      <c r="O200" t="s">
        <v>1352</v>
      </c>
      <c r="Q200" t="s">
        <v>1353</v>
      </c>
      <c r="R200" t="s">
        <v>60</v>
      </c>
      <c r="S200" t="s">
        <v>68</v>
      </c>
      <c r="T200" t="s">
        <v>1354</v>
      </c>
      <c r="U200" t="s">
        <v>62</v>
      </c>
      <c r="V200">
        <v>7204147860</v>
      </c>
      <c r="W200" s="1">
        <v>1936995</v>
      </c>
      <c r="X200">
        <v>15</v>
      </c>
      <c r="Y200">
        <v>15</v>
      </c>
      <c r="Z200">
        <v>2018</v>
      </c>
      <c r="AA200" t="s">
        <v>70</v>
      </c>
      <c r="AB200" t="s">
        <v>1355</v>
      </c>
      <c r="AC200" t="s">
        <v>923</v>
      </c>
      <c r="AD200" t="s">
        <v>551</v>
      </c>
      <c r="AE200">
        <v>8711</v>
      </c>
      <c r="AF200" t="s">
        <v>507</v>
      </c>
      <c r="AI200">
        <v>87119906</v>
      </c>
      <c r="AJ200" t="s">
        <v>1356</v>
      </c>
      <c r="AM200">
        <v>541330</v>
      </c>
      <c r="AN200" t="s">
        <v>507</v>
      </c>
      <c r="AQ200" t="s">
        <v>75</v>
      </c>
      <c r="AT200" t="s">
        <v>76</v>
      </c>
      <c r="BF200">
        <v>0</v>
      </c>
      <c r="BG200">
        <v>0</v>
      </c>
      <c r="CK200" s="19">
        <f>IF(BQ200&gt;0,BQ200,W200)</f>
        <v>1936995</v>
      </c>
      <c r="CL200" s="20">
        <f>IF(BS200&gt;0,BS200,Y200)</f>
        <v>15</v>
      </c>
      <c r="CM200" s="34">
        <f>IF(CG200&gt;0,CG200,AM200)</f>
        <v>541330</v>
      </c>
      <c r="CN200" s="80">
        <f>IF($BH200="",1,COUNTIF($BH$3:$BH200,$BH200))</f>
        <v>1</v>
      </c>
      <c r="CP200" t="str">
        <f>IF($K200="Standard Match","Match",IF($K200="Name Only Match",IF($CO200="Yes","Match","Name Only Match"),"No Match"))</f>
        <v>Match</v>
      </c>
      <c r="CQ200" s="35" t="str">
        <f>IF(AND(CP200="Match",CK200&gt;0,CL200&gt;0),"Y","N")</f>
        <v>Y</v>
      </c>
      <c r="CS200" t="str">
        <f>IF($CQ200="Y",VLOOKUP($CM200,'SBA Size Standards'!$B$3:$G$57,MATCH('SBA Size Standards'!$G$3,'SBA Size Standards'!$B$3:$G$3,0),FALSE),"")</f>
        <v>Revenue</v>
      </c>
      <c r="CT200" s="60">
        <f>IF(CQ200="Y",IF($CS200="Employment","N/A",VLOOKUP($CM200,'SBA Size Standards'!$B$3:$G$57,MATCH('SBA Size Standards'!$E$3,'SBA Size Standards'!$B$3:$G$3,0),FALSE)),"")</f>
        <v>16500000</v>
      </c>
      <c r="CU200" s="86" t="str">
        <f>IF($CQ200="Y",IF($CS200="Revenue","N/A",VLOOKUP($CM200,'SBA Size Standards'!$B$3:$G$57,MATCH('SBA Size Standards'!$F$3,'SBA Size Standards'!$B$3:$G$3,0),FALSE)),"")</f>
        <v>N/A</v>
      </c>
      <c r="CV200" t="str">
        <f>IF($CQ200="Y",IF(OR(AND($CS200="Employment",$CL200&lt;$CU200),AND($CS200="Revenue",$CK200&lt;$CT200)),"YES","NO"),"")</f>
        <v>YES</v>
      </c>
      <c r="CW200" s="90" t="str">
        <f>IF($CQ200="Y",INDEX('SBA Size Standards'!$N$3:$N$12,MATCH($CK200,'SBA Size Standards'!$O$3:$O$12,1)),"")</f>
        <v>$1,000,001 - $5,000,000</v>
      </c>
      <c r="CX200" s="122" t="s">
        <v>4614</v>
      </c>
      <c r="CY200" s="122">
        <f>INDEX('NM O&amp;G Production'!$P$3:$P$537,MATCH(CX200,'NM O&amp;G Production'!$Q$3:$Q$537,0))</f>
        <v>178</v>
      </c>
      <c r="CZ200" s="122" t="str">
        <f>INDEX('NM O&amp;G Production'!$O$3:$O$537,MATCH(CY200,'NM O&amp;G Production'!$P$3:$P$537,0))</f>
        <v>Yes</v>
      </c>
      <c r="DA200" s="127">
        <f>INDEX('NM O&amp;G Production'!$K$3:$O$537,MATCH($CY200,'NM O&amp;G Production'!$P$3:$P$537,0),MATCH(DA$2,'NM O&amp;G Production'!$K$2:$O$2,0))</f>
        <v>5</v>
      </c>
      <c r="DB200" s="127">
        <f>INDEX('NM O&amp;G Production'!$K$3:$O$537,MATCH($CY200,'NM O&amp;G Production'!$P$3:$P$537,0),MATCH(DB$2,'NM O&amp;G Production'!$K$2:$O$2,0))</f>
        <v>0</v>
      </c>
      <c r="DC200" s="127">
        <f>DA200+DB200</f>
        <v>5</v>
      </c>
      <c r="DD200" s="127">
        <f>INDEX('NM O&amp;G Production'!$K$3:$O$537,MATCH($CY200,'NM O&amp;G Production'!$P$3:$P$537,0),MATCH(DD$2,'NM O&amp;G Production'!$K$2:$O$2,0))</f>
        <v>298574</v>
      </c>
      <c r="DE200" s="127">
        <f>INDEX('NM O&amp;G Production'!$K$3:$O$537,MATCH($CY200,'NM O&amp;G Production'!$P$3:$P$537,0),MATCH(DE$2,'NM O&amp;G Production'!$K$2:$O$2,0))</f>
        <v>281064</v>
      </c>
      <c r="DF200" s="258">
        <f>CK200/(DB200+DA200)</f>
        <v>387399</v>
      </c>
      <c r="DG200" s="57">
        <f>DD200*(12/18)*1.06*'Oil and Gas Prices'!$C$18</f>
        <v>504271.58106666669</v>
      </c>
      <c r="DH200" s="284">
        <f>DE200*(12/18)*'Oil and Gas Prices'!$C$4</f>
        <v>8431920</v>
      </c>
      <c r="DI200" s="284">
        <f>DG200+DH200</f>
        <v>8936191.5810666662</v>
      </c>
      <c r="DJ200" s="57">
        <f>(DG200+DH200)/(DA200+DB200)</f>
        <v>1787238.3162133333</v>
      </c>
      <c r="DK200" s="319"/>
    </row>
    <row r="201" spans="1:115" x14ac:dyDescent="0.25">
      <c r="A201" t="s">
        <v>235</v>
      </c>
      <c r="B201" t="s">
        <v>236</v>
      </c>
      <c r="D201" t="s">
        <v>88</v>
      </c>
      <c r="E201" t="s">
        <v>80</v>
      </c>
      <c r="F201">
        <v>76107</v>
      </c>
      <c r="G201" t="s">
        <v>62</v>
      </c>
      <c r="I201">
        <v>22</v>
      </c>
      <c r="J201" t="s">
        <v>89</v>
      </c>
      <c r="K201" t="s">
        <v>4133</v>
      </c>
      <c r="L201" t="s">
        <v>113</v>
      </c>
      <c r="M201">
        <v>8</v>
      </c>
      <c r="N201" t="s">
        <v>237</v>
      </c>
      <c r="O201" t="s">
        <v>238</v>
      </c>
      <c r="Q201" t="s">
        <v>239</v>
      </c>
      <c r="R201" t="s">
        <v>88</v>
      </c>
      <c r="S201" t="s">
        <v>94</v>
      </c>
      <c r="T201" t="s">
        <v>240</v>
      </c>
      <c r="U201" t="s">
        <v>62</v>
      </c>
      <c r="V201">
        <v>8178829063</v>
      </c>
      <c r="W201" s="1">
        <v>1900000</v>
      </c>
      <c r="X201">
        <v>15</v>
      </c>
      <c r="Y201">
        <v>15</v>
      </c>
      <c r="Z201">
        <v>1996</v>
      </c>
      <c r="AA201" t="s">
        <v>70</v>
      </c>
      <c r="AB201" t="s">
        <v>241</v>
      </c>
      <c r="AC201" t="s">
        <v>242</v>
      </c>
      <c r="AD201" t="s">
        <v>119</v>
      </c>
      <c r="AE201">
        <v>1382</v>
      </c>
      <c r="AF201" t="s">
        <v>120</v>
      </c>
      <c r="AI201">
        <v>13829902</v>
      </c>
      <c r="AJ201" t="s">
        <v>243</v>
      </c>
      <c r="AM201">
        <v>213112</v>
      </c>
      <c r="AN201" t="s">
        <v>74</v>
      </c>
      <c r="AQ201" t="s">
        <v>75</v>
      </c>
      <c r="AT201" t="s">
        <v>76</v>
      </c>
      <c r="BF201">
        <v>0</v>
      </c>
      <c r="BG201">
        <v>0</v>
      </c>
      <c r="CK201" s="19">
        <f>IF(BQ201&gt;0,BQ201,W201)</f>
        <v>1900000</v>
      </c>
      <c r="CL201" s="20">
        <f>IF(BS201&gt;0,BS201,Y201)</f>
        <v>15</v>
      </c>
      <c r="CM201" s="34">
        <f>IF(CG201&gt;0,CG201,AM201)</f>
        <v>213112</v>
      </c>
      <c r="CN201" s="80">
        <f>IF($BH201="",1,COUNTIF($BH$3:$BH201,$BH201))</f>
        <v>1</v>
      </c>
      <c r="CP201" t="str">
        <f>IF($K201="Standard Match","Match",IF($K201="Name Only Match",IF($CO201="Yes","Match","Name Only Match"),"No Match"))</f>
        <v>Match</v>
      </c>
      <c r="CQ201" s="35" t="str">
        <f>IF(AND(CP201="Match",CK201&gt;0,CL201&gt;0),"Y","N")</f>
        <v>Y</v>
      </c>
      <c r="CS201" t="str">
        <f>IF($CQ201="Y",VLOOKUP($CM201,'SBA Size Standards'!$B$3:$G$57,MATCH('SBA Size Standards'!$G$3,'SBA Size Standards'!$B$3:$G$3,0),FALSE),"")</f>
        <v>Revenue</v>
      </c>
      <c r="CT201" s="60">
        <f>IF(CQ201="Y",IF($CS201="Employment","N/A",VLOOKUP($CM201,'SBA Size Standards'!$B$3:$G$57,MATCH('SBA Size Standards'!$E$3,'SBA Size Standards'!$B$3:$G$3,0),FALSE)),"")</f>
        <v>41500000</v>
      </c>
      <c r="CU201" s="86" t="str">
        <f>IF($CQ201="Y",IF($CS201="Revenue","N/A",VLOOKUP($CM201,'SBA Size Standards'!$B$3:$G$57,MATCH('SBA Size Standards'!$F$3,'SBA Size Standards'!$B$3:$G$3,0),FALSE)),"")</f>
        <v>N/A</v>
      </c>
      <c r="CV201" t="str">
        <f>IF($CQ201="Y",IF(OR(AND($CS201="Employment",$CL201&lt;$CU201),AND($CS201="Revenue",$CK201&lt;$CT201)),"YES","NO"),"")</f>
        <v>YES</v>
      </c>
      <c r="CW201" s="90" t="str">
        <f>IF($CQ201="Y",INDEX('SBA Size Standards'!$N$3:$N$12,MATCH($CK201,'SBA Size Standards'!$O$3:$O$12,1)),"")</f>
        <v>$1,000,001 - $5,000,000</v>
      </c>
      <c r="CX201" s="122" t="s">
        <v>4804</v>
      </c>
      <c r="CY201" s="122">
        <f>INDEX('NM O&amp;G Production'!$P$3:$P$537,MATCH(CX201,'NM O&amp;G Production'!$Q$3:$Q$537,0))</f>
        <v>22</v>
      </c>
      <c r="CZ201" s="122" t="str">
        <f>INDEX('NM O&amp;G Production'!$O$3:$O$537,MATCH(CY201,'NM O&amp;G Production'!$P$3:$P$537,0))</f>
        <v>Yes</v>
      </c>
      <c r="DA201" s="127">
        <f>INDEX('NM O&amp;G Production'!$K$3:$O$537,MATCH($CY201,'NM O&amp;G Production'!$P$3:$P$537,0),MATCH(DA$2,'NM O&amp;G Production'!$K$2:$O$2,0))</f>
        <v>0</v>
      </c>
      <c r="DB201" s="127">
        <f>INDEX('NM O&amp;G Production'!$K$3:$O$537,MATCH($CY201,'NM O&amp;G Production'!$P$3:$P$537,0),MATCH(DB$2,'NM O&amp;G Production'!$K$2:$O$2,0))</f>
        <v>2</v>
      </c>
      <c r="DC201" s="127">
        <f>DA201+DB201</f>
        <v>2</v>
      </c>
      <c r="DD201" s="127">
        <f>INDEX('NM O&amp;G Production'!$K$3:$O$537,MATCH($CY201,'NM O&amp;G Production'!$P$3:$P$537,0),MATCH(DD$2,'NM O&amp;G Production'!$K$2:$O$2,0))</f>
        <v>0</v>
      </c>
      <c r="DE201" s="127">
        <f>INDEX('NM O&amp;G Production'!$K$3:$O$537,MATCH($CY201,'NM O&amp;G Production'!$P$3:$P$537,0),MATCH(DE$2,'NM O&amp;G Production'!$K$2:$O$2,0))</f>
        <v>5404</v>
      </c>
      <c r="DF201" s="258">
        <f>CK201/(DB201+DA201)</f>
        <v>950000</v>
      </c>
      <c r="DG201" s="57">
        <f>DD201*(12/18)*1.06*'Oil and Gas Prices'!$C$18</f>
        <v>0</v>
      </c>
      <c r="DH201" s="284">
        <f>DE201*(12/18)*'Oil and Gas Prices'!$C$4</f>
        <v>162120</v>
      </c>
      <c r="DI201" s="284">
        <f>DG201+DH201</f>
        <v>162120</v>
      </c>
      <c r="DJ201" s="57">
        <f>(DG201+DH201)/(DA201+DB201)</f>
        <v>81060</v>
      </c>
      <c r="DK201" s="318"/>
    </row>
    <row r="202" spans="1:115" x14ac:dyDescent="0.25">
      <c r="A202" t="s">
        <v>2599</v>
      </c>
      <c r="B202" t="s">
        <v>2600</v>
      </c>
      <c r="D202" t="s">
        <v>153</v>
      </c>
      <c r="E202" t="s">
        <v>80</v>
      </c>
      <c r="F202">
        <v>797101990</v>
      </c>
      <c r="G202" t="s">
        <v>62</v>
      </c>
      <c r="I202">
        <v>374</v>
      </c>
      <c r="J202" t="s">
        <v>63</v>
      </c>
      <c r="K202" t="s">
        <v>4133</v>
      </c>
      <c r="L202" t="s">
        <v>149</v>
      </c>
      <c r="M202">
        <v>10</v>
      </c>
      <c r="N202" t="s">
        <v>2601</v>
      </c>
      <c r="O202" t="s">
        <v>2602</v>
      </c>
      <c r="Q202" t="s">
        <v>2603</v>
      </c>
      <c r="R202" t="s">
        <v>153</v>
      </c>
      <c r="S202" t="s">
        <v>94</v>
      </c>
      <c r="T202" t="s">
        <v>2604</v>
      </c>
      <c r="U202" t="s">
        <v>62</v>
      </c>
      <c r="V202">
        <v>4326827346</v>
      </c>
      <c r="W202" s="1">
        <v>1892022</v>
      </c>
      <c r="X202">
        <v>8</v>
      </c>
      <c r="Y202">
        <v>8</v>
      </c>
      <c r="Z202">
        <v>1953</v>
      </c>
      <c r="AA202" t="s">
        <v>70</v>
      </c>
      <c r="AB202" t="s">
        <v>2605</v>
      </c>
      <c r="AC202" t="s">
        <v>98</v>
      </c>
      <c r="AD202" t="s">
        <v>99</v>
      </c>
      <c r="AE202">
        <v>1311</v>
      </c>
      <c r="AF202" t="s">
        <v>100</v>
      </c>
      <c r="AI202">
        <v>13110101</v>
      </c>
      <c r="AJ202" t="s">
        <v>102</v>
      </c>
      <c r="AM202">
        <v>211120</v>
      </c>
      <c r="AN202" t="s">
        <v>104</v>
      </c>
      <c r="AQ202" t="s">
        <v>75</v>
      </c>
      <c r="AT202" t="s">
        <v>76</v>
      </c>
      <c r="BF202">
        <v>0</v>
      </c>
      <c r="BG202">
        <v>0</v>
      </c>
      <c r="CK202" s="19">
        <f>IF(BQ202&gt;0,BQ202,W202)</f>
        <v>1892022</v>
      </c>
      <c r="CL202" s="20">
        <f>IF(BS202&gt;0,BS202,Y202)</f>
        <v>8</v>
      </c>
      <c r="CM202" s="34">
        <f>IF(CG202&gt;0,CG202,AM202)</f>
        <v>211120</v>
      </c>
      <c r="CN202" s="80">
        <f>IF($BH202="",1,COUNTIF($BH$3:$BH202,$BH202))</f>
        <v>1</v>
      </c>
      <c r="CP202" t="str">
        <f>IF($K202="Standard Match","Match",IF($K202="Name Only Match",IF($CO202="Yes","Match","Name Only Match"),"No Match"))</f>
        <v>Match</v>
      </c>
      <c r="CQ202" s="35" t="str">
        <f>IF(AND(CP202="Match",CK202&gt;0,CL202&gt;0),"Y","N")</f>
        <v>Y</v>
      </c>
      <c r="CS202" t="str">
        <f>IF($CQ202="Y",VLOOKUP($CM202,'SBA Size Standards'!$B$3:$G$57,MATCH('SBA Size Standards'!$G$3,'SBA Size Standards'!$B$3:$G$3,0),FALSE),"")</f>
        <v>Employment</v>
      </c>
      <c r="CT202" s="60" t="str">
        <f>IF(CQ202="Y",IF($CS202="Employment","N/A",VLOOKUP($CM202,'SBA Size Standards'!$B$3:$G$57,MATCH('SBA Size Standards'!$E$3,'SBA Size Standards'!$B$3:$G$3,0),FALSE)),"")</f>
        <v>N/A</v>
      </c>
      <c r="CU202" s="86">
        <f>IF($CQ202="Y",IF($CS202="Revenue","N/A",VLOOKUP($CM202,'SBA Size Standards'!$B$3:$G$57,MATCH('SBA Size Standards'!$F$3,'SBA Size Standards'!$B$3:$G$3,0),FALSE)),"")</f>
        <v>1250</v>
      </c>
      <c r="CV202" t="str">
        <f>IF($CQ202="Y",IF(OR(AND($CS202="Employment",$CL202&lt;$CU202),AND($CS202="Revenue",$CK202&lt;$CT202)),"YES","NO"),"")</f>
        <v>YES</v>
      </c>
      <c r="CW202" s="90" t="str">
        <f>IF($CQ202="Y",INDEX('SBA Size Standards'!$N$3:$N$12,MATCH($CK202,'SBA Size Standards'!$O$3:$O$12,1)),"")</f>
        <v>$1,000,001 - $5,000,000</v>
      </c>
      <c r="CX202" s="122" t="s">
        <v>4709</v>
      </c>
      <c r="CY202" s="122">
        <f>INDEX('NM O&amp;G Production'!$P$3:$P$537,MATCH(CX202,'NM O&amp;G Production'!$Q$3:$Q$537,0))</f>
        <v>374</v>
      </c>
      <c r="CZ202" s="122" t="str">
        <f>INDEX('NM O&amp;G Production'!$O$3:$O$537,MATCH(CY202,'NM O&amp;G Production'!$P$3:$P$537,0))</f>
        <v>Yes</v>
      </c>
      <c r="DA202" s="127">
        <f>INDEX('NM O&amp;G Production'!$K$3:$O$537,MATCH($CY202,'NM O&amp;G Production'!$P$3:$P$537,0),MATCH(DA$2,'NM O&amp;G Production'!$K$2:$O$2,0))</f>
        <v>2</v>
      </c>
      <c r="DB202" s="127">
        <f>INDEX('NM O&amp;G Production'!$K$3:$O$537,MATCH($CY202,'NM O&amp;G Production'!$P$3:$P$537,0),MATCH(DB$2,'NM O&amp;G Production'!$K$2:$O$2,0))</f>
        <v>1</v>
      </c>
      <c r="DC202" s="127">
        <f>DA202+DB202</f>
        <v>3</v>
      </c>
      <c r="DD202" s="127">
        <f>INDEX('NM O&amp;G Production'!$K$3:$O$537,MATCH($CY202,'NM O&amp;G Production'!$P$3:$P$537,0),MATCH(DD$2,'NM O&amp;G Production'!$K$2:$O$2,0))</f>
        <v>30466</v>
      </c>
      <c r="DE202" s="127">
        <f>INDEX('NM O&amp;G Production'!$K$3:$O$537,MATCH($CY202,'NM O&amp;G Production'!$P$3:$P$537,0),MATCH(DE$2,'NM O&amp;G Production'!$K$2:$O$2,0))</f>
        <v>8853</v>
      </c>
      <c r="DF202" s="258">
        <f>CK202/(DB202+DA202)</f>
        <v>630674</v>
      </c>
      <c r="DG202" s="57">
        <f>DD202*(12/18)*1.06*'Oil and Gas Prices'!$C$18</f>
        <v>51455.04293333333</v>
      </c>
      <c r="DH202" s="284">
        <f>DE202*(12/18)*'Oil and Gas Prices'!$C$4</f>
        <v>265590</v>
      </c>
      <c r="DI202" s="284">
        <f>DG202+DH202</f>
        <v>317045.04293333332</v>
      </c>
      <c r="DJ202" s="57">
        <f>(DG202+DH202)/(DA202+DB202)</f>
        <v>105681.68097777777</v>
      </c>
      <c r="DK202" s="319"/>
    </row>
    <row r="203" spans="1:115" x14ac:dyDescent="0.25">
      <c r="A203" t="s">
        <v>2496</v>
      </c>
      <c r="B203" t="s">
        <v>2497</v>
      </c>
      <c r="D203" t="s">
        <v>153</v>
      </c>
      <c r="E203" t="s">
        <v>80</v>
      </c>
      <c r="F203">
        <v>79705</v>
      </c>
      <c r="G203" t="s">
        <v>62</v>
      </c>
      <c r="I203">
        <v>358</v>
      </c>
      <c r="J203" t="s">
        <v>63</v>
      </c>
      <c r="K203" t="s">
        <v>4133</v>
      </c>
      <c r="L203" t="s">
        <v>279</v>
      </c>
      <c r="M203">
        <v>8</v>
      </c>
      <c r="N203" t="s">
        <v>2498</v>
      </c>
      <c r="O203" t="s">
        <v>2499</v>
      </c>
      <c r="Q203" t="s">
        <v>2500</v>
      </c>
      <c r="R203" t="s">
        <v>153</v>
      </c>
      <c r="S203" t="s">
        <v>94</v>
      </c>
      <c r="T203" t="s">
        <v>2501</v>
      </c>
      <c r="U203" t="s">
        <v>62</v>
      </c>
      <c r="V203">
        <v>4326869869</v>
      </c>
      <c r="W203" s="1">
        <v>1818734</v>
      </c>
      <c r="X203">
        <v>4</v>
      </c>
      <c r="Y203">
        <v>18</v>
      </c>
      <c r="Z203">
        <v>1991</v>
      </c>
      <c r="AA203" t="s">
        <v>163</v>
      </c>
      <c r="AB203" t="s">
        <v>2502</v>
      </c>
      <c r="AC203" t="s">
        <v>98</v>
      </c>
      <c r="AD203" t="s">
        <v>99</v>
      </c>
      <c r="AE203">
        <v>1311</v>
      </c>
      <c r="AF203" t="s">
        <v>100</v>
      </c>
      <c r="AI203">
        <v>13110101</v>
      </c>
      <c r="AJ203" t="s">
        <v>102</v>
      </c>
      <c r="AM203">
        <v>211120</v>
      </c>
      <c r="AN203" t="s">
        <v>104</v>
      </c>
      <c r="AQ203" t="s">
        <v>75</v>
      </c>
      <c r="AR203" t="s">
        <v>2498</v>
      </c>
      <c r="AS203" t="s">
        <v>2499</v>
      </c>
      <c r="AT203" t="s">
        <v>427</v>
      </c>
      <c r="AU203" t="s">
        <v>80</v>
      </c>
      <c r="AV203" t="s">
        <v>62</v>
      </c>
      <c r="AW203" t="s">
        <v>2498</v>
      </c>
      <c r="AX203" t="s">
        <v>2499</v>
      </c>
      <c r="AY203" t="s">
        <v>80</v>
      </c>
      <c r="AZ203" t="s">
        <v>62</v>
      </c>
      <c r="BE203" t="s">
        <v>62</v>
      </c>
      <c r="BF203">
        <v>1</v>
      </c>
      <c r="BG203">
        <v>2</v>
      </c>
      <c r="BH203" s="4" t="s">
        <v>2498</v>
      </c>
      <c r="BI203" s="4" t="s">
        <v>2499</v>
      </c>
      <c r="BK203" s="4" t="s">
        <v>2500</v>
      </c>
      <c r="BL203" s="4" t="s">
        <v>153</v>
      </c>
      <c r="BM203" s="4" t="s">
        <v>94</v>
      </c>
      <c r="BN203" s="4" t="s">
        <v>2501</v>
      </c>
      <c r="BO203" s="4" t="s">
        <v>62</v>
      </c>
      <c r="BP203" s="4">
        <v>4326869869</v>
      </c>
      <c r="BQ203" s="5">
        <v>1818734</v>
      </c>
      <c r="BR203" s="4">
        <v>4</v>
      </c>
      <c r="BS203" s="4">
        <v>18</v>
      </c>
      <c r="BT203" s="4">
        <v>1991</v>
      </c>
      <c r="BU203" s="4" t="s">
        <v>163</v>
      </c>
      <c r="BV203" s="4" t="s">
        <v>2502</v>
      </c>
      <c r="BW203" s="4" t="s">
        <v>98</v>
      </c>
      <c r="BX203" s="4" t="s">
        <v>99</v>
      </c>
      <c r="BY203" s="4">
        <v>1311</v>
      </c>
      <c r="BZ203" s="4" t="s">
        <v>100</v>
      </c>
      <c r="CC203" s="4">
        <v>13110101</v>
      </c>
      <c r="CD203" s="4" t="s">
        <v>102</v>
      </c>
      <c r="CG203" s="4">
        <v>211120</v>
      </c>
      <c r="CH203" s="4" t="s">
        <v>104</v>
      </c>
      <c r="CK203" s="19">
        <f>IF(BQ203&gt;0,BQ203,W203)</f>
        <v>1818734</v>
      </c>
      <c r="CL203" s="20">
        <f>IF(BS203&gt;0,BS203,Y203)</f>
        <v>18</v>
      </c>
      <c r="CM203" s="34">
        <f>IF(CG203&gt;0,CG203,AM203)</f>
        <v>211120</v>
      </c>
      <c r="CN203" s="80">
        <f>IF($BH203="",1,COUNTIF($BH$3:$BH203,$BH203))</f>
        <v>1</v>
      </c>
      <c r="CP203" t="str">
        <f>IF($K203="Standard Match","Match",IF($K203="Name Only Match",IF($CO203="Yes","Match","Name Only Match"),"No Match"))</f>
        <v>Match</v>
      </c>
      <c r="CQ203" s="35" t="str">
        <f>IF(AND(CP203="Match",CK203&gt;0,CL203&gt;0),"Y","N")</f>
        <v>Y</v>
      </c>
      <c r="CS203" t="str">
        <f>IF($CQ203="Y",VLOOKUP($CM203,'SBA Size Standards'!$B$3:$G$57,MATCH('SBA Size Standards'!$G$3,'SBA Size Standards'!$B$3:$G$3,0),FALSE),"")</f>
        <v>Employment</v>
      </c>
      <c r="CT203" s="60" t="str">
        <f>IF(CQ203="Y",IF($CS203="Employment","N/A",VLOOKUP($CM203,'SBA Size Standards'!$B$3:$G$57,MATCH('SBA Size Standards'!$E$3,'SBA Size Standards'!$B$3:$G$3,0),FALSE)),"")</f>
        <v>N/A</v>
      </c>
      <c r="CU203" s="86">
        <f>IF($CQ203="Y",IF($CS203="Revenue","N/A",VLOOKUP($CM203,'SBA Size Standards'!$B$3:$G$57,MATCH('SBA Size Standards'!$F$3,'SBA Size Standards'!$B$3:$G$3,0),FALSE)),"")</f>
        <v>1250</v>
      </c>
      <c r="CV203" t="str">
        <f>IF($CQ203="Y",IF(OR(AND($CS203="Employment",$CL203&lt;$CU203),AND($CS203="Revenue",$CK203&lt;$CT203)),"YES","NO"),"")</f>
        <v>YES</v>
      </c>
      <c r="CW203" s="90" t="str">
        <f>IF($CQ203="Y",INDEX('SBA Size Standards'!$N$3:$N$12,MATCH($CK203,'SBA Size Standards'!$O$3:$O$12,1)),"")</f>
        <v>$1,000,001 - $5,000,000</v>
      </c>
      <c r="CX203" s="122" t="s">
        <v>4885</v>
      </c>
      <c r="CY203" s="122">
        <f>INDEX('NM O&amp;G Production'!$P$3:$P$537,MATCH(CX203,'NM O&amp;G Production'!$Q$3:$Q$537,0))</f>
        <v>358</v>
      </c>
      <c r="CZ203" s="122" t="str">
        <f>INDEX('NM O&amp;G Production'!$O$3:$O$537,MATCH(CY203,'NM O&amp;G Production'!$P$3:$P$537,0))</f>
        <v>Yes</v>
      </c>
      <c r="DA203" s="127">
        <f>INDEX('NM O&amp;G Production'!$K$3:$O$537,MATCH($CY203,'NM O&amp;G Production'!$P$3:$P$537,0),MATCH(DA$2,'NM O&amp;G Production'!$K$2:$O$2,0))</f>
        <v>3</v>
      </c>
      <c r="DB203" s="127">
        <f>INDEX('NM O&amp;G Production'!$K$3:$O$537,MATCH($CY203,'NM O&amp;G Production'!$P$3:$P$537,0),MATCH(DB$2,'NM O&amp;G Production'!$K$2:$O$2,0))</f>
        <v>27</v>
      </c>
      <c r="DC203" s="127">
        <f>DA203+DB203</f>
        <v>30</v>
      </c>
      <c r="DD203" s="127">
        <f>INDEX('NM O&amp;G Production'!$K$3:$O$537,MATCH($CY203,'NM O&amp;G Production'!$P$3:$P$537,0),MATCH(DD$2,'NM O&amp;G Production'!$K$2:$O$2,0))</f>
        <v>344921</v>
      </c>
      <c r="DE203" s="127">
        <f>INDEX('NM O&amp;G Production'!$K$3:$O$537,MATCH($CY203,'NM O&amp;G Production'!$P$3:$P$537,0),MATCH(DE$2,'NM O&amp;G Production'!$K$2:$O$2,0))</f>
        <v>408</v>
      </c>
      <c r="DF203" s="258">
        <f>CK203/(DB203+DA203)</f>
        <v>60624.466666666667</v>
      </c>
      <c r="DG203" s="57">
        <f>DD203*(12/18)*1.06*'Oil and Gas Prices'!$C$18</f>
        <v>582548.57426666666</v>
      </c>
      <c r="DH203" s="284">
        <f>DE203*(12/18)*'Oil and Gas Prices'!$C$4</f>
        <v>12240</v>
      </c>
      <c r="DI203" s="284">
        <f>DG203+DH203</f>
        <v>594788.57426666666</v>
      </c>
      <c r="DJ203" s="57">
        <f>(DG203+DH203)/(DA203+DB203)</f>
        <v>19826.28580888889</v>
      </c>
      <c r="DK203" s="319"/>
    </row>
    <row r="204" spans="1:115" x14ac:dyDescent="0.25">
      <c r="A204" t="s">
        <v>2272</v>
      </c>
      <c r="B204" t="s">
        <v>2273</v>
      </c>
      <c r="D204" t="s">
        <v>60</v>
      </c>
      <c r="E204" t="s">
        <v>61</v>
      </c>
      <c r="F204">
        <v>80264</v>
      </c>
      <c r="G204" t="s">
        <v>62</v>
      </c>
      <c r="I204">
        <v>321</v>
      </c>
      <c r="J204" t="s">
        <v>63</v>
      </c>
      <c r="K204" t="s">
        <v>4133</v>
      </c>
      <c r="L204" t="s">
        <v>64</v>
      </c>
      <c r="M204">
        <v>10</v>
      </c>
      <c r="N204" t="s">
        <v>2274</v>
      </c>
      <c r="O204" t="s">
        <v>2272</v>
      </c>
      <c r="Q204" t="s">
        <v>2275</v>
      </c>
      <c r="R204" t="s">
        <v>60</v>
      </c>
      <c r="S204" t="s">
        <v>68</v>
      </c>
      <c r="T204" t="s">
        <v>2276</v>
      </c>
      <c r="U204" t="s">
        <v>62</v>
      </c>
      <c r="V204">
        <v>7205507458</v>
      </c>
      <c r="W204" s="1">
        <v>1813732</v>
      </c>
      <c r="X204">
        <v>12</v>
      </c>
      <c r="Y204">
        <v>12</v>
      </c>
      <c r="Z204">
        <v>2013</v>
      </c>
      <c r="AA204" t="s">
        <v>70</v>
      </c>
      <c r="AB204" t="s">
        <v>2277</v>
      </c>
      <c r="AC204" t="s">
        <v>98</v>
      </c>
      <c r="AD204" t="s">
        <v>119</v>
      </c>
      <c r="AE204">
        <v>1382</v>
      </c>
      <c r="AF204" t="s">
        <v>120</v>
      </c>
      <c r="AI204">
        <v>13820000</v>
      </c>
      <c r="AJ204" t="s">
        <v>119</v>
      </c>
      <c r="AM204">
        <v>213112</v>
      </c>
      <c r="AN204" t="s">
        <v>74</v>
      </c>
      <c r="AQ204" t="s">
        <v>75</v>
      </c>
      <c r="AT204" t="s">
        <v>76</v>
      </c>
      <c r="BF204">
        <v>0</v>
      </c>
      <c r="BG204">
        <v>0</v>
      </c>
      <c r="CK204" s="19">
        <f>IF(BQ204&gt;0,BQ204,W204)</f>
        <v>1813732</v>
      </c>
      <c r="CL204" s="20">
        <f>IF(BS204&gt;0,BS204,Y204)</f>
        <v>12</v>
      </c>
      <c r="CM204" s="34">
        <f>IF(CG204&gt;0,CG204,AM204)</f>
        <v>213112</v>
      </c>
      <c r="CN204" s="80">
        <f>IF($BH204="",1,COUNTIF($BH$3:$BH204,$BH204))</f>
        <v>1</v>
      </c>
      <c r="CP204" t="str">
        <f>IF($K204="Standard Match","Match",IF($K204="Name Only Match",IF($CO204="Yes","Match","Name Only Match"),"No Match"))</f>
        <v>Match</v>
      </c>
      <c r="CQ204" s="35" t="str">
        <f>IF(AND(CP204="Match",CK204&gt;0,CL204&gt;0),"Y","N")</f>
        <v>Y</v>
      </c>
      <c r="CS204" t="str">
        <f>IF($CQ204="Y",VLOOKUP($CM204,'SBA Size Standards'!$B$3:$G$57,MATCH('SBA Size Standards'!$G$3,'SBA Size Standards'!$B$3:$G$3,0),FALSE),"")</f>
        <v>Revenue</v>
      </c>
      <c r="CT204" s="60">
        <f>IF(CQ204="Y",IF($CS204="Employment","N/A",VLOOKUP($CM204,'SBA Size Standards'!$B$3:$G$57,MATCH('SBA Size Standards'!$E$3,'SBA Size Standards'!$B$3:$G$3,0),FALSE)),"")</f>
        <v>41500000</v>
      </c>
      <c r="CU204" s="86" t="str">
        <f>IF($CQ204="Y",IF($CS204="Revenue","N/A",VLOOKUP($CM204,'SBA Size Standards'!$B$3:$G$57,MATCH('SBA Size Standards'!$F$3,'SBA Size Standards'!$B$3:$G$3,0),FALSE)),"")</f>
        <v>N/A</v>
      </c>
      <c r="CV204" t="str">
        <f>IF($CQ204="Y",IF(OR(AND($CS204="Employment",$CL204&lt;$CU204),AND($CS204="Revenue",$CK204&lt;$CT204)),"YES","NO"),"")</f>
        <v>YES</v>
      </c>
      <c r="CW204" s="90" t="str">
        <f>IF($CQ204="Y",INDEX('SBA Size Standards'!$N$3:$N$12,MATCH($CK204,'SBA Size Standards'!$O$3:$O$12,1)),"")</f>
        <v>$1,000,001 - $5,000,000</v>
      </c>
      <c r="CX204" s="122" t="s">
        <v>4687</v>
      </c>
      <c r="CY204" s="122">
        <f>INDEX('NM O&amp;G Production'!$P$3:$P$537,MATCH(CX204,'NM O&amp;G Production'!$Q$3:$Q$537,0))</f>
        <v>321</v>
      </c>
      <c r="CZ204" s="122" t="str">
        <f>INDEX('NM O&amp;G Production'!$O$3:$O$537,MATCH(CY204,'NM O&amp;G Production'!$P$3:$P$537,0))</f>
        <v>Yes</v>
      </c>
      <c r="DA204" s="127">
        <f>INDEX('NM O&amp;G Production'!$K$3:$O$537,MATCH($CY204,'NM O&amp;G Production'!$P$3:$P$537,0),MATCH(DA$2,'NM O&amp;G Production'!$K$2:$O$2,0))</f>
        <v>33</v>
      </c>
      <c r="DB204" s="127">
        <f>INDEX('NM O&amp;G Production'!$K$3:$O$537,MATCH($CY204,'NM O&amp;G Production'!$P$3:$P$537,0),MATCH(DB$2,'NM O&amp;G Production'!$K$2:$O$2,0))</f>
        <v>51</v>
      </c>
      <c r="DC204" s="127">
        <f>DA204+DB204</f>
        <v>84</v>
      </c>
      <c r="DD204" s="127">
        <f>INDEX('NM O&amp;G Production'!$K$3:$O$537,MATCH($CY204,'NM O&amp;G Production'!$P$3:$P$537,0),MATCH(DD$2,'NM O&amp;G Production'!$K$2:$O$2,0))</f>
        <v>2027331</v>
      </c>
      <c r="DE204" s="127">
        <f>INDEX('NM O&amp;G Production'!$K$3:$O$537,MATCH($CY204,'NM O&amp;G Production'!$P$3:$P$537,0),MATCH(DE$2,'NM O&amp;G Production'!$K$2:$O$2,0))</f>
        <v>7761</v>
      </c>
      <c r="DF204" s="258">
        <f>CK204/(DB204+DA204)</f>
        <v>21592.047619047618</v>
      </c>
      <c r="DG204" s="57">
        <f>DD204*(12/18)*1.06*'Oil and Gas Prices'!$C$18</f>
        <v>3424026.9036000003</v>
      </c>
      <c r="DH204" s="284">
        <f>DE204*(12/18)*'Oil and Gas Prices'!$C$4</f>
        <v>232830</v>
      </c>
      <c r="DI204" s="284">
        <f>DG204+DH204</f>
        <v>3656856.9036000003</v>
      </c>
      <c r="DJ204" s="57">
        <f>(DG204+DH204)/(DA204+DB204)</f>
        <v>43534.01075714286</v>
      </c>
      <c r="DK204" s="318"/>
    </row>
    <row r="205" spans="1:115" x14ac:dyDescent="0.25">
      <c r="A205" t="s">
        <v>414</v>
      </c>
      <c r="B205" t="s">
        <v>415</v>
      </c>
      <c r="D205" t="s">
        <v>329</v>
      </c>
      <c r="E205" t="s">
        <v>61</v>
      </c>
      <c r="F205">
        <v>80120</v>
      </c>
      <c r="G205" t="s">
        <v>62</v>
      </c>
      <c r="I205">
        <v>50</v>
      </c>
      <c r="J205" t="s">
        <v>63</v>
      </c>
      <c r="K205" t="s">
        <v>4134</v>
      </c>
      <c r="L205" t="s">
        <v>3627</v>
      </c>
      <c r="M205">
        <v>8</v>
      </c>
      <c r="N205" t="s">
        <v>3788</v>
      </c>
      <c r="O205" s="21" t="s">
        <v>3789</v>
      </c>
      <c r="P205" t="s">
        <v>3790</v>
      </c>
      <c r="Q205" t="s">
        <v>3791</v>
      </c>
      <c r="R205" t="s">
        <v>60</v>
      </c>
      <c r="S205" t="s">
        <v>68</v>
      </c>
      <c r="T205" t="s">
        <v>3792</v>
      </c>
      <c r="U205" t="s">
        <v>62</v>
      </c>
      <c r="V205">
        <v>3039452630</v>
      </c>
      <c r="W205" s="1">
        <v>1805126</v>
      </c>
      <c r="X205">
        <v>7</v>
      </c>
      <c r="Y205">
        <v>10</v>
      </c>
      <c r="Z205">
        <v>2013</v>
      </c>
      <c r="AA205" t="s">
        <v>163</v>
      </c>
      <c r="AB205" t="s">
        <v>3793</v>
      </c>
      <c r="AC205" t="s">
        <v>133</v>
      </c>
      <c r="AD205" t="s">
        <v>119</v>
      </c>
      <c r="AE205">
        <v>1382</v>
      </c>
      <c r="AF205" t="s">
        <v>120</v>
      </c>
      <c r="AG205">
        <v>7389</v>
      </c>
      <c r="AH205" t="s">
        <v>1301</v>
      </c>
      <c r="AI205">
        <v>13820000</v>
      </c>
      <c r="AJ205" t="s">
        <v>119</v>
      </c>
      <c r="AK205">
        <v>73890900</v>
      </c>
      <c r="AL205" t="s">
        <v>3794</v>
      </c>
      <c r="AM205">
        <v>213112</v>
      </c>
      <c r="AN205" t="s">
        <v>74</v>
      </c>
      <c r="AO205">
        <v>522320</v>
      </c>
      <c r="AP205" t="s">
        <v>3795</v>
      </c>
      <c r="AQ205" t="s">
        <v>75</v>
      </c>
      <c r="AR205" t="s">
        <v>3788</v>
      </c>
      <c r="AS205" t="s">
        <v>3789</v>
      </c>
      <c r="AT205" t="s">
        <v>427</v>
      </c>
      <c r="AU205" t="s">
        <v>61</v>
      </c>
      <c r="AV205" t="s">
        <v>62</v>
      </c>
      <c r="AW205" t="s">
        <v>3788</v>
      </c>
      <c r="AX205" t="s">
        <v>3789</v>
      </c>
      <c r="AY205" t="s">
        <v>61</v>
      </c>
      <c r="AZ205" t="s">
        <v>62</v>
      </c>
      <c r="BE205" t="s">
        <v>62</v>
      </c>
      <c r="BF205">
        <v>1</v>
      </c>
      <c r="BG205">
        <v>2</v>
      </c>
      <c r="BH205" s="4" t="s">
        <v>3788</v>
      </c>
      <c r="BI205" s="4" t="s">
        <v>3789</v>
      </c>
      <c r="BJ205" s="4" t="s">
        <v>3790</v>
      </c>
      <c r="BK205" s="4" t="s">
        <v>3791</v>
      </c>
      <c r="BL205" s="4" t="s">
        <v>60</v>
      </c>
      <c r="BM205" s="4" t="s">
        <v>68</v>
      </c>
      <c r="BN205" s="4" t="s">
        <v>3792</v>
      </c>
      <c r="BO205" s="4" t="s">
        <v>62</v>
      </c>
      <c r="BP205" s="4">
        <v>3039452630</v>
      </c>
      <c r="BQ205" s="5">
        <v>1805126</v>
      </c>
      <c r="BR205" s="4">
        <v>7</v>
      </c>
      <c r="BS205" s="4">
        <v>10</v>
      </c>
      <c r="BT205" s="4">
        <v>2013</v>
      </c>
      <c r="BU205" s="4" t="s">
        <v>163</v>
      </c>
      <c r="BV205" s="4" t="s">
        <v>3793</v>
      </c>
      <c r="BW205" s="4" t="s">
        <v>133</v>
      </c>
      <c r="BX205" s="4" t="s">
        <v>119</v>
      </c>
      <c r="BY205" s="4">
        <v>1382</v>
      </c>
      <c r="BZ205" s="4" t="s">
        <v>120</v>
      </c>
      <c r="CA205" s="4">
        <v>7389</v>
      </c>
      <c r="CB205" s="4" t="s">
        <v>1301</v>
      </c>
      <c r="CC205" s="4">
        <v>13820000</v>
      </c>
      <c r="CD205" s="4" t="s">
        <v>119</v>
      </c>
      <c r="CE205" s="4">
        <v>73890900</v>
      </c>
      <c r="CF205" s="4" t="s">
        <v>3794</v>
      </c>
      <c r="CG205" s="4">
        <v>213112</v>
      </c>
      <c r="CH205" s="4" t="s">
        <v>74</v>
      </c>
      <c r="CI205" s="4">
        <v>522320</v>
      </c>
      <c r="CJ205" s="4" t="s">
        <v>3795</v>
      </c>
      <c r="CK205" s="19">
        <f>IF(BQ205&gt;0,BQ205,W205)</f>
        <v>1805126</v>
      </c>
      <c r="CL205" s="20">
        <f>IF(BS205&gt;0,BS205,Y205)</f>
        <v>10</v>
      </c>
      <c r="CM205" s="34">
        <f>IF(CG205&gt;0,CG205,AM205)</f>
        <v>213112</v>
      </c>
      <c r="CN205" s="80">
        <f>IF($BH205="",1,COUNTIF($BH$3:$BH205,$BH205))</f>
        <v>1</v>
      </c>
      <c r="CO205" s="33" t="s">
        <v>4386</v>
      </c>
      <c r="CP205" t="str">
        <f>IF($K205="Standard Match","Match",IF($K205="Name Only Match",IF($CO205="Yes","Match","Name Only Match"),"No Match"))</f>
        <v>Match</v>
      </c>
      <c r="CQ205" s="35" t="str">
        <f>IF(AND(CP205="Match",CK205&gt;0,CL205&gt;0),"Y","N")</f>
        <v>Y</v>
      </c>
      <c r="CS205" t="str">
        <f>IF($CQ205="Y",VLOOKUP($CM205,'SBA Size Standards'!$B$3:$G$57,MATCH('SBA Size Standards'!$G$3,'SBA Size Standards'!$B$3:$G$3,0),FALSE),"")</f>
        <v>Revenue</v>
      </c>
      <c r="CT205" s="60">
        <f>IF(CQ205="Y",IF($CS205="Employment","N/A",VLOOKUP($CM205,'SBA Size Standards'!$B$3:$G$57,MATCH('SBA Size Standards'!$E$3,'SBA Size Standards'!$B$3:$G$3,0),FALSE)),"")</f>
        <v>41500000</v>
      </c>
      <c r="CU205" s="86" t="str">
        <f>IF($CQ205="Y",IF($CS205="Revenue","N/A",VLOOKUP($CM205,'SBA Size Standards'!$B$3:$G$57,MATCH('SBA Size Standards'!$F$3,'SBA Size Standards'!$B$3:$G$3,0),FALSE)),"")</f>
        <v>N/A</v>
      </c>
      <c r="CV205" t="str">
        <f>IF($CQ205="Y",IF(OR(AND($CS205="Employment",$CL205&lt;$CU205),AND($CS205="Revenue",$CK205&lt;$CT205)),"YES","NO"),"")</f>
        <v>YES</v>
      </c>
      <c r="CW205" s="90" t="str">
        <f>IF($CQ205="Y",INDEX('SBA Size Standards'!$N$3:$N$12,MATCH($CK205,'SBA Size Standards'!$O$3:$O$12,1)),"")</f>
        <v>$1,000,001 - $5,000,000</v>
      </c>
      <c r="CX205" s="122" t="s">
        <v>4942</v>
      </c>
      <c r="CY205" s="122">
        <f>INDEX('NM O&amp;G Production'!$P$3:$P$537,MATCH(CX205,'NM O&amp;G Production'!$Q$3:$Q$537,0))</f>
        <v>50</v>
      </c>
      <c r="CZ205" s="122" t="str">
        <f>INDEX('NM O&amp;G Production'!$O$3:$O$537,MATCH(CY205,'NM O&amp;G Production'!$P$3:$P$537,0))</f>
        <v>Yes</v>
      </c>
      <c r="DA205" s="127">
        <f>INDEX('NM O&amp;G Production'!$K$3:$O$537,MATCH($CY205,'NM O&amp;G Production'!$P$3:$P$537,0),MATCH(DA$2,'NM O&amp;G Production'!$K$2:$O$2,0))</f>
        <v>1</v>
      </c>
      <c r="DB205" s="127">
        <f>INDEX('NM O&amp;G Production'!$K$3:$O$537,MATCH($CY205,'NM O&amp;G Production'!$P$3:$P$537,0),MATCH(DB$2,'NM O&amp;G Production'!$K$2:$O$2,0))</f>
        <v>3</v>
      </c>
      <c r="DC205" s="127">
        <f>DA205+DB205</f>
        <v>4</v>
      </c>
      <c r="DD205" s="127">
        <f>INDEX('NM O&amp;G Production'!$K$3:$O$537,MATCH($CY205,'NM O&amp;G Production'!$P$3:$P$537,0),MATCH(DD$2,'NM O&amp;G Production'!$K$2:$O$2,0))</f>
        <v>28155</v>
      </c>
      <c r="DE205" s="127">
        <f>INDEX('NM O&amp;G Production'!$K$3:$O$537,MATCH($CY205,'NM O&amp;G Production'!$P$3:$P$537,0),MATCH(DE$2,'NM O&amp;G Production'!$K$2:$O$2,0))</f>
        <v>14106</v>
      </c>
      <c r="DF205" s="258">
        <f>CK205/(DB205+DA205)</f>
        <v>451281.5</v>
      </c>
      <c r="DG205" s="57">
        <f>DD205*(12/18)*1.06*'Oil and Gas Prices'!$C$18</f>
        <v>47551.918000000005</v>
      </c>
      <c r="DH205" s="284">
        <f>DE205*(12/18)*'Oil and Gas Prices'!$C$4</f>
        <v>423180</v>
      </c>
      <c r="DI205" s="284">
        <f>DG205+DH205</f>
        <v>470731.91800000001</v>
      </c>
      <c r="DJ205" s="57">
        <f>(DG205+DH205)/(DA205+DB205)</f>
        <v>117682.9795</v>
      </c>
      <c r="DK205" s="319"/>
    </row>
    <row r="206" spans="1:115" x14ac:dyDescent="0.25">
      <c r="A206" t="s">
        <v>634</v>
      </c>
      <c r="B206" t="s">
        <v>635</v>
      </c>
      <c r="D206" t="s">
        <v>153</v>
      </c>
      <c r="E206" t="s">
        <v>80</v>
      </c>
      <c r="F206">
        <v>79702</v>
      </c>
      <c r="G206" t="s">
        <v>62</v>
      </c>
      <c r="I206">
        <v>78</v>
      </c>
      <c r="J206" t="s">
        <v>63</v>
      </c>
      <c r="K206" t="s">
        <v>4133</v>
      </c>
      <c r="L206" t="s">
        <v>149</v>
      </c>
      <c r="M206">
        <v>10</v>
      </c>
      <c r="N206" t="s">
        <v>636</v>
      </c>
      <c r="O206" t="s">
        <v>637</v>
      </c>
      <c r="Q206" t="s">
        <v>638</v>
      </c>
      <c r="R206" t="s">
        <v>153</v>
      </c>
      <c r="S206" t="s">
        <v>94</v>
      </c>
      <c r="T206" t="s">
        <v>639</v>
      </c>
      <c r="U206" t="s">
        <v>62</v>
      </c>
      <c r="V206">
        <v>4326855001</v>
      </c>
      <c r="W206" s="1">
        <v>1800592</v>
      </c>
      <c r="X206">
        <v>5</v>
      </c>
      <c r="Y206">
        <v>5</v>
      </c>
      <c r="Z206">
        <v>1985</v>
      </c>
      <c r="AA206" t="s">
        <v>70</v>
      </c>
      <c r="AB206" t="s">
        <v>640</v>
      </c>
      <c r="AC206" t="s">
        <v>98</v>
      </c>
      <c r="AD206" t="s">
        <v>99</v>
      </c>
      <c r="AE206">
        <v>1311</v>
      </c>
      <c r="AF206" t="s">
        <v>100</v>
      </c>
      <c r="AI206">
        <v>13110101</v>
      </c>
      <c r="AJ206" t="s">
        <v>102</v>
      </c>
      <c r="AM206">
        <v>211120</v>
      </c>
      <c r="AN206" t="s">
        <v>104</v>
      </c>
      <c r="AQ206" t="s">
        <v>75</v>
      </c>
      <c r="AT206" t="s">
        <v>76</v>
      </c>
      <c r="BF206">
        <v>0</v>
      </c>
      <c r="BG206">
        <v>0</v>
      </c>
      <c r="CK206" s="19">
        <f>IF(BQ206&gt;0,BQ206,W206)</f>
        <v>1800592</v>
      </c>
      <c r="CL206" s="20">
        <f>IF(BS206&gt;0,BS206,Y206)</f>
        <v>5</v>
      </c>
      <c r="CM206" s="34">
        <f>IF(CG206&gt;0,CG206,AM206)</f>
        <v>211120</v>
      </c>
      <c r="CN206" s="80">
        <f>IF($BH206="",1,COUNTIF($BH$3:$BH206,$BH206))</f>
        <v>1</v>
      </c>
      <c r="CP206" t="str">
        <f>IF($K206="Standard Match","Match",IF($K206="Name Only Match",IF($CO206="Yes","Match","Name Only Match"),"No Match"))</f>
        <v>Match</v>
      </c>
      <c r="CQ206" s="35" t="str">
        <f>IF(AND(CP206="Match",CK206&gt;0,CL206&gt;0),"Y","N")</f>
        <v>Y</v>
      </c>
      <c r="CS206" t="str">
        <f>IF($CQ206="Y",VLOOKUP($CM206,'SBA Size Standards'!$B$3:$G$57,MATCH('SBA Size Standards'!$G$3,'SBA Size Standards'!$B$3:$G$3,0),FALSE),"")</f>
        <v>Employment</v>
      </c>
      <c r="CT206" s="60" t="str">
        <f>IF(CQ206="Y",IF($CS206="Employment","N/A",VLOOKUP($CM206,'SBA Size Standards'!$B$3:$G$57,MATCH('SBA Size Standards'!$E$3,'SBA Size Standards'!$B$3:$G$3,0),FALSE)),"")</f>
        <v>N/A</v>
      </c>
      <c r="CU206" s="86">
        <f>IF($CQ206="Y",IF($CS206="Revenue","N/A",VLOOKUP($CM206,'SBA Size Standards'!$B$3:$G$57,MATCH('SBA Size Standards'!$F$3,'SBA Size Standards'!$B$3:$G$3,0),FALSE)),"")</f>
        <v>1250</v>
      </c>
      <c r="CV206" t="str">
        <f>IF($CQ206="Y",IF(OR(AND($CS206="Employment",$CL206&lt;$CU206),AND($CS206="Revenue",$CK206&lt;$CT206)),"YES","NO"),"")</f>
        <v>YES</v>
      </c>
      <c r="CW206" s="90" t="str">
        <f>IF($CQ206="Y",INDEX('SBA Size Standards'!$N$3:$N$12,MATCH($CK206,'SBA Size Standards'!$O$3:$O$12,1)),"")</f>
        <v>$1,000,001 - $5,000,000</v>
      </c>
      <c r="CX206" s="122" t="s">
        <v>4566</v>
      </c>
      <c r="CY206" s="122">
        <f>INDEX('NM O&amp;G Production'!$P$3:$P$537,MATCH(CX206,'NM O&amp;G Production'!$Q$3:$Q$537,0))</f>
        <v>78</v>
      </c>
      <c r="CZ206" s="122" t="str">
        <f>INDEX('NM O&amp;G Production'!$O$3:$O$537,MATCH(CY206,'NM O&amp;G Production'!$P$3:$P$537,0))</f>
        <v>Yes</v>
      </c>
      <c r="DA206" s="127">
        <f>INDEX('NM O&amp;G Production'!$K$3:$O$537,MATCH($CY206,'NM O&amp;G Production'!$P$3:$P$537,0),MATCH(DA$2,'NM O&amp;G Production'!$K$2:$O$2,0))</f>
        <v>21</v>
      </c>
      <c r="DB206" s="127">
        <f>INDEX('NM O&amp;G Production'!$K$3:$O$537,MATCH($CY206,'NM O&amp;G Production'!$P$3:$P$537,0),MATCH(DB$2,'NM O&amp;G Production'!$K$2:$O$2,0))</f>
        <v>18</v>
      </c>
      <c r="DC206" s="127">
        <f>DA206+DB206</f>
        <v>39</v>
      </c>
      <c r="DD206" s="127">
        <f>INDEX('NM O&amp;G Production'!$K$3:$O$537,MATCH($CY206,'NM O&amp;G Production'!$P$3:$P$537,0),MATCH(DD$2,'NM O&amp;G Production'!$K$2:$O$2,0))</f>
        <v>484424</v>
      </c>
      <c r="DE206" s="127">
        <f>INDEX('NM O&amp;G Production'!$K$3:$O$537,MATCH($CY206,'NM O&amp;G Production'!$P$3:$P$537,0),MATCH(DE$2,'NM O&amp;G Production'!$K$2:$O$2,0))</f>
        <v>186743</v>
      </c>
      <c r="DF206" s="258">
        <f>CK206/(DB206+DA206)</f>
        <v>46169.025641025641</v>
      </c>
      <c r="DG206" s="57">
        <f>DD206*(12/18)*1.06*'Oil and Gas Prices'!$C$18</f>
        <v>818159.84106666676</v>
      </c>
      <c r="DH206" s="284">
        <f>DE206*(12/18)*'Oil and Gas Prices'!$C$4</f>
        <v>5602290</v>
      </c>
      <c r="DI206" s="284">
        <f>DG206+DH206</f>
        <v>6420449.8410666669</v>
      </c>
      <c r="DJ206" s="57">
        <f>(DG206+DH206)/(DA206+DB206)</f>
        <v>164626.91900170941</v>
      </c>
      <c r="DK206" s="318"/>
    </row>
    <row r="207" spans="1:115" x14ac:dyDescent="0.25">
      <c r="A207" t="s">
        <v>1003</v>
      </c>
      <c r="B207" t="s">
        <v>1004</v>
      </c>
      <c r="D207" t="s">
        <v>153</v>
      </c>
      <c r="E207" t="s">
        <v>80</v>
      </c>
      <c r="F207">
        <v>79702</v>
      </c>
      <c r="G207" t="s">
        <v>62</v>
      </c>
      <c r="I207">
        <v>133</v>
      </c>
      <c r="J207" t="s">
        <v>63</v>
      </c>
      <c r="K207" t="s">
        <v>4133</v>
      </c>
      <c r="L207" t="s">
        <v>149</v>
      </c>
      <c r="M207">
        <v>10</v>
      </c>
      <c r="N207" t="s">
        <v>1005</v>
      </c>
      <c r="O207" t="s">
        <v>1006</v>
      </c>
      <c r="P207" t="s">
        <v>1007</v>
      </c>
      <c r="Q207" t="s">
        <v>1008</v>
      </c>
      <c r="R207" t="s">
        <v>153</v>
      </c>
      <c r="S207" t="s">
        <v>94</v>
      </c>
      <c r="T207" t="s">
        <v>1009</v>
      </c>
      <c r="U207" t="s">
        <v>62</v>
      </c>
      <c r="V207">
        <v>4326836293</v>
      </c>
      <c r="W207" s="1">
        <v>1782391</v>
      </c>
      <c r="X207">
        <v>12</v>
      </c>
      <c r="Y207">
        <v>12</v>
      </c>
      <c r="Z207">
        <v>1922</v>
      </c>
      <c r="AA207" t="s">
        <v>163</v>
      </c>
      <c r="AB207" t="s">
        <v>1010</v>
      </c>
      <c r="AC207" t="s">
        <v>98</v>
      </c>
      <c r="AD207" t="s">
        <v>99</v>
      </c>
      <c r="AE207">
        <v>1311</v>
      </c>
      <c r="AF207" t="s">
        <v>100</v>
      </c>
      <c r="AI207">
        <v>13110101</v>
      </c>
      <c r="AJ207" t="s">
        <v>102</v>
      </c>
      <c r="AM207">
        <v>211120</v>
      </c>
      <c r="AN207" t="s">
        <v>104</v>
      </c>
      <c r="AQ207" t="s">
        <v>75</v>
      </c>
      <c r="AR207" t="s">
        <v>1005</v>
      </c>
      <c r="AS207" t="s">
        <v>1006</v>
      </c>
      <c r="AT207" t="s">
        <v>427</v>
      </c>
      <c r="AU207" t="s">
        <v>80</v>
      </c>
      <c r="AV207" t="s">
        <v>62</v>
      </c>
      <c r="AW207" t="s">
        <v>1005</v>
      </c>
      <c r="AX207" t="s">
        <v>1006</v>
      </c>
      <c r="AY207" t="s">
        <v>80</v>
      </c>
      <c r="AZ207" t="s">
        <v>62</v>
      </c>
      <c r="BE207" t="s">
        <v>62</v>
      </c>
      <c r="BF207">
        <v>1</v>
      </c>
      <c r="BG207">
        <v>3</v>
      </c>
      <c r="BH207" s="4" t="s">
        <v>1005</v>
      </c>
      <c r="BI207" s="4" t="s">
        <v>1006</v>
      </c>
      <c r="BJ207" s="4" t="s">
        <v>1007</v>
      </c>
      <c r="BK207" s="4" t="s">
        <v>1008</v>
      </c>
      <c r="BL207" s="4" t="s">
        <v>153</v>
      </c>
      <c r="BM207" s="4" t="s">
        <v>94</v>
      </c>
      <c r="BN207" s="4" t="s">
        <v>1009</v>
      </c>
      <c r="BO207" s="4" t="s">
        <v>62</v>
      </c>
      <c r="BP207" s="4">
        <v>4326836293</v>
      </c>
      <c r="BQ207" s="5">
        <v>1782391</v>
      </c>
      <c r="BR207" s="4">
        <v>12</v>
      </c>
      <c r="BS207" s="4">
        <v>12</v>
      </c>
      <c r="BT207" s="4">
        <v>1922</v>
      </c>
      <c r="BU207" s="4" t="s">
        <v>163</v>
      </c>
      <c r="BV207" s="4" t="s">
        <v>1010</v>
      </c>
      <c r="BW207" s="4" t="s">
        <v>98</v>
      </c>
      <c r="BX207" s="4" t="s">
        <v>99</v>
      </c>
      <c r="BY207" s="4">
        <v>1311</v>
      </c>
      <c r="BZ207" s="4" t="s">
        <v>100</v>
      </c>
      <c r="CC207" s="4">
        <v>13110101</v>
      </c>
      <c r="CD207" s="4" t="s">
        <v>102</v>
      </c>
      <c r="CG207" s="4">
        <v>211120</v>
      </c>
      <c r="CH207" s="4" t="s">
        <v>104</v>
      </c>
      <c r="CK207" s="19">
        <f>IF(BQ207&gt;0,BQ207,W207)</f>
        <v>1782391</v>
      </c>
      <c r="CL207" s="20">
        <f>IF(BS207&gt;0,BS207,Y207)</f>
        <v>12</v>
      </c>
      <c r="CM207" s="34">
        <f>IF(CG207&gt;0,CG207,AM207)</f>
        <v>211120</v>
      </c>
      <c r="CN207" s="80">
        <f>IF($BH207="",1,COUNTIF($BH$3:$BH207,$BH207))</f>
        <v>1</v>
      </c>
      <c r="CP207" t="str">
        <f>IF($K207="Standard Match","Match",IF($K207="Name Only Match",IF($CO207="Yes","Match","Name Only Match"),"No Match"))</f>
        <v>Match</v>
      </c>
      <c r="CQ207" s="35" t="str">
        <f>IF(AND(CP207="Match",CK207&gt;0,CL207&gt;0),"Y","N")</f>
        <v>Y</v>
      </c>
      <c r="CS207" t="str">
        <f>IF($CQ207="Y",VLOOKUP($CM207,'SBA Size Standards'!$B$3:$G$57,MATCH('SBA Size Standards'!$G$3,'SBA Size Standards'!$B$3:$G$3,0),FALSE),"")</f>
        <v>Employment</v>
      </c>
      <c r="CT207" s="60" t="str">
        <f>IF(CQ207="Y",IF($CS207="Employment","N/A",VLOOKUP($CM207,'SBA Size Standards'!$B$3:$G$57,MATCH('SBA Size Standards'!$E$3,'SBA Size Standards'!$B$3:$G$3,0),FALSE)),"")</f>
        <v>N/A</v>
      </c>
      <c r="CU207" s="86">
        <f>IF($CQ207="Y",IF($CS207="Revenue","N/A",VLOOKUP($CM207,'SBA Size Standards'!$B$3:$G$57,MATCH('SBA Size Standards'!$F$3,'SBA Size Standards'!$B$3:$G$3,0),FALSE)),"")</f>
        <v>1250</v>
      </c>
      <c r="CV207" t="str">
        <f>IF($CQ207="Y",IF(OR(AND($CS207="Employment",$CL207&lt;$CU207),AND($CS207="Revenue",$CK207&lt;$CT207)),"YES","NO"),"")</f>
        <v>YES</v>
      </c>
      <c r="CW207" s="90" t="str">
        <f>IF($CQ207="Y",INDEX('SBA Size Standards'!$N$3:$N$12,MATCH($CK207,'SBA Size Standards'!$O$3:$O$12,1)),"")</f>
        <v>$1,000,001 - $5,000,000</v>
      </c>
      <c r="CX207" s="122" t="s">
        <v>4592</v>
      </c>
      <c r="CY207" s="122">
        <f>INDEX('NM O&amp;G Production'!$P$3:$P$537,MATCH(CX207,'NM O&amp;G Production'!$Q$3:$Q$537,0))</f>
        <v>133</v>
      </c>
      <c r="CZ207" s="122" t="str">
        <f>INDEX('NM O&amp;G Production'!$O$3:$O$537,MATCH(CY207,'NM O&amp;G Production'!$P$3:$P$537,0))</f>
        <v>Yes</v>
      </c>
      <c r="DA207" s="127">
        <f>INDEX('NM O&amp;G Production'!$K$3:$O$537,MATCH($CY207,'NM O&amp;G Production'!$P$3:$P$537,0),MATCH(DA$2,'NM O&amp;G Production'!$K$2:$O$2,0))</f>
        <v>0</v>
      </c>
      <c r="DB207" s="127">
        <f>INDEX('NM O&amp;G Production'!$K$3:$O$537,MATCH($CY207,'NM O&amp;G Production'!$P$3:$P$537,0),MATCH(DB$2,'NM O&amp;G Production'!$K$2:$O$2,0))</f>
        <v>27</v>
      </c>
      <c r="DC207" s="127">
        <f>DA207+DB207</f>
        <v>27</v>
      </c>
      <c r="DD207" s="127">
        <f>INDEX('NM O&amp;G Production'!$K$3:$O$537,MATCH($CY207,'NM O&amp;G Production'!$P$3:$P$537,0),MATCH(DD$2,'NM O&amp;G Production'!$K$2:$O$2,0))</f>
        <v>66098</v>
      </c>
      <c r="DE207" s="127">
        <f>INDEX('NM O&amp;G Production'!$K$3:$O$537,MATCH($CY207,'NM O&amp;G Production'!$P$3:$P$537,0),MATCH(DE$2,'NM O&amp;G Production'!$K$2:$O$2,0))</f>
        <v>18460</v>
      </c>
      <c r="DF207" s="258">
        <f>CK207/(DB207+DA207)</f>
        <v>66014.481481481474</v>
      </c>
      <c r="DG207" s="57">
        <f>DD207*(12/18)*1.06*'Oil and Gas Prices'!$C$18</f>
        <v>111635.11546666667</v>
      </c>
      <c r="DH207" s="284">
        <f>DE207*(12/18)*'Oil and Gas Prices'!$C$4</f>
        <v>553800</v>
      </c>
      <c r="DI207" s="284">
        <f>DG207+DH207</f>
        <v>665435.11546666664</v>
      </c>
      <c r="DJ207" s="57">
        <f>(DG207+DH207)/(DA207+DB207)</f>
        <v>24645.745017283949</v>
      </c>
      <c r="DK207" s="319"/>
    </row>
    <row r="208" spans="1:115" x14ac:dyDescent="0.25">
      <c r="A208" t="s">
        <v>2591</v>
      </c>
      <c r="B208" t="s">
        <v>2592</v>
      </c>
      <c r="C208" t="s">
        <v>2593</v>
      </c>
      <c r="D208" t="s">
        <v>344</v>
      </c>
      <c r="E208" t="s">
        <v>80</v>
      </c>
      <c r="F208">
        <v>79714</v>
      </c>
      <c r="G208" t="s">
        <v>62</v>
      </c>
      <c r="I208">
        <v>373</v>
      </c>
      <c r="J208" t="s">
        <v>63</v>
      </c>
      <c r="K208" t="s">
        <v>4133</v>
      </c>
      <c r="L208" t="s">
        <v>419</v>
      </c>
      <c r="M208">
        <v>8</v>
      </c>
      <c r="N208" t="s">
        <v>2594</v>
      </c>
      <c r="O208" t="s">
        <v>2595</v>
      </c>
      <c r="Q208" t="s">
        <v>2596</v>
      </c>
      <c r="R208" t="s">
        <v>344</v>
      </c>
      <c r="S208" t="s">
        <v>94</v>
      </c>
      <c r="T208" t="s">
        <v>2597</v>
      </c>
      <c r="U208" t="s">
        <v>62</v>
      </c>
      <c r="V208">
        <v>4325246400</v>
      </c>
      <c r="W208" s="1">
        <v>1721515</v>
      </c>
      <c r="X208">
        <v>25</v>
      </c>
      <c r="Y208">
        <v>25</v>
      </c>
      <c r="Z208">
        <v>2005</v>
      </c>
      <c r="AA208" t="s">
        <v>70</v>
      </c>
      <c r="AB208" t="s">
        <v>2598</v>
      </c>
      <c r="AC208" t="s">
        <v>98</v>
      </c>
      <c r="AD208" t="s">
        <v>71</v>
      </c>
      <c r="AE208">
        <v>1389</v>
      </c>
      <c r="AF208" t="s">
        <v>72</v>
      </c>
      <c r="AI208">
        <v>13890106</v>
      </c>
      <c r="AJ208" t="s">
        <v>1292</v>
      </c>
      <c r="AM208">
        <v>237120</v>
      </c>
      <c r="AN208" t="s">
        <v>413</v>
      </c>
      <c r="AQ208" t="s">
        <v>75</v>
      </c>
      <c r="AT208" t="s">
        <v>76</v>
      </c>
      <c r="BF208">
        <v>0</v>
      </c>
      <c r="BG208">
        <v>0</v>
      </c>
      <c r="CK208" s="19">
        <f>IF(BQ208&gt;0,BQ208,W208)</f>
        <v>1721515</v>
      </c>
      <c r="CL208" s="20">
        <f>IF(BS208&gt;0,BS208,Y208)</f>
        <v>25</v>
      </c>
      <c r="CM208" s="34">
        <f>IF(CG208&gt;0,CG208,AM208)</f>
        <v>237120</v>
      </c>
      <c r="CN208" s="80">
        <f>IF($BH208="",1,COUNTIF($BH$3:$BH208,$BH208))</f>
        <v>1</v>
      </c>
      <c r="CP208" t="str">
        <f>IF($K208="Standard Match","Match",IF($K208="Name Only Match",IF($CO208="Yes","Match","Name Only Match"),"No Match"))</f>
        <v>Match</v>
      </c>
      <c r="CQ208" s="35" t="str">
        <f>IF(AND(CP208="Match",CK208&gt;0,CL208&gt;0),"Y","N")</f>
        <v>Y</v>
      </c>
      <c r="CS208" t="str">
        <f>IF($CQ208="Y",VLOOKUP($CM208,'SBA Size Standards'!$B$3:$G$57,MATCH('SBA Size Standards'!$G$3,'SBA Size Standards'!$B$3:$G$3,0),FALSE),"")</f>
        <v>Revenue</v>
      </c>
      <c r="CT208" s="60">
        <f>IF(CQ208="Y",IF($CS208="Employment","N/A",VLOOKUP($CM208,'SBA Size Standards'!$B$3:$G$57,MATCH('SBA Size Standards'!$E$3,'SBA Size Standards'!$B$3:$G$3,0),FALSE)),"")</f>
        <v>39500000</v>
      </c>
      <c r="CU208" s="86" t="str">
        <f>IF($CQ208="Y",IF($CS208="Revenue","N/A",VLOOKUP($CM208,'SBA Size Standards'!$B$3:$G$57,MATCH('SBA Size Standards'!$F$3,'SBA Size Standards'!$B$3:$G$3,0),FALSE)),"")</f>
        <v>N/A</v>
      </c>
      <c r="CV208" t="str">
        <f>IF($CQ208="Y",IF(OR(AND($CS208="Employment",$CL208&lt;$CU208),AND($CS208="Revenue",$CK208&lt;$CT208)),"YES","NO"),"")</f>
        <v>YES</v>
      </c>
      <c r="CW208" s="90" t="str">
        <f>IF($CQ208="Y",INDEX('SBA Size Standards'!$N$3:$N$12,MATCH($CK208,'SBA Size Standards'!$O$3:$O$12,1)),"")</f>
        <v>$1,000,001 - $5,000,000</v>
      </c>
      <c r="CX208" s="122" t="s">
        <v>4888</v>
      </c>
      <c r="CY208" s="122">
        <f>INDEX('NM O&amp;G Production'!$P$3:$P$537,MATCH(CX208,'NM O&amp;G Production'!$Q$3:$Q$537,0))</f>
        <v>373</v>
      </c>
      <c r="CZ208" s="122" t="str">
        <f>INDEX('NM O&amp;G Production'!$O$3:$O$537,MATCH(CY208,'NM O&amp;G Production'!$P$3:$P$537,0))</f>
        <v>Yes</v>
      </c>
      <c r="DA208" s="127">
        <f>INDEX('NM O&amp;G Production'!$K$3:$O$537,MATCH($CY208,'NM O&amp;G Production'!$P$3:$P$537,0),MATCH(DA$2,'NM O&amp;G Production'!$K$2:$O$2,0))</f>
        <v>2</v>
      </c>
      <c r="DB208" s="127">
        <f>INDEX('NM O&amp;G Production'!$K$3:$O$537,MATCH($CY208,'NM O&amp;G Production'!$P$3:$P$537,0),MATCH(DB$2,'NM O&amp;G Production'!$K$2:$O$2,0))</f>
        <v>25</v>
      </c>
      <c r="DC208" s="127">
        <f>DA208+DB208</f>
        <v>27</v>
      </c>
      <c r="DD208" s="127">
        <f>INDEX('NM O&amp;G Production'!$K$3:$O$537,MATCH($CY208,'NM O&amp;G Production'!$P$3:$P$537,0),MATCH(DD$2,'NM O&amp;G Production'!$K$2:$O$2,0))</f>
        <v>18673</v>
      </c>
      <c r="DE208" s="127">
        <f>INDEX('NM O&amp;G Production'!$K$3:$O$537,MATCH($CY208,'NM O&amp;G Production'!$P$3:$P$537,0),MATCH(DE$2,'NM O&amp;G Production'!$K$2:$O$2,0))</f>
        <v>12780</v>
      </c>
      <c r="DF208" s="258">
        <f>CK208/(DB208+DA208)</f>
        <v>63759.814814814818</v>
      </c>
      <c r="DG208" s="57">
        <f>DD208*(12/18)*1.06*'Oil and Gas Prices'!$C$18</f>
        <v>31537.452133333332</v>
      </c>
      <c r="DH208" s="284">
        <f>DE208*(12/18)*'Oil and Gas Prices'!$C$4</f>
        <v>383400</v>
      </c>
      <c r="DI208" s="284">
        <f>DG208+DH208</f>
        <v>414937.45213333331</v>
      </c>
      <c r="DJ208" s="57">
        <f>(DG208+DH208)/(DA208+DB208)</f>
        <v>15368.053782716048</v>
      </c>
      <c r="DK208" s="319"/>
    </row>
    <row r="209" spans="1:115" x14ac:dyDescent="0.25">
      <c r="A209" t="s">
        <v>2046</v>
      </c>
      <c r="B209" t="s">
        <v>2047</v>
      </c>
      <c r="D209" t="s">
        <v>153</v>
      </c>
      <c r="E209" t="s">
        <v>80</v>
      </c>
      <c r="F209">
        <v>79702</v>
      </c>
      <c r="G209" t="s">
        <v>62</v>
      </c>
      <c r="I209">
        <v>287</v>
      </c>
      <c r="J209" t="s">
        <v>404</v>
      </c>
      <c r="K209" t="s">
        <v>4133</v>
      </c>
      <c r="L209" t="s">
        <v>279</v>
      </c>
      <c r="M209">
        <v>8</v>
      </c>
      <c r="N209" t="s">
        <v>2048</v>
      </c>
      <c r="O209" t="s">
        <v>2049</v>
      </c>
      <c r="Q209" t="s">
        <v>1000</v>
      </c>
      <c r="R209" t="s">
        <v>153</v>
      </c>
      <c r="S209" t="s">
        <v>94</v>
      </c>
      <c r="T209" t="s">
        <v>1001</v>
      </c>
      <c r="U209" t="s">
        <v>62</v>
      </c>
      <c r="V209">
        <v>4326847441</v>
      </c>
      <c r="W209" s="1">
        <v>1700000</v>
      </c>
      <c r="X209">
        <v>17</v>
      </c>
      <c r="Y209">
        <v>0</v>
      </c>
      <c r="AA209" t="s">
        <v>96</v>
      </c>
      <c r="AB209" t="s">
        <v>2050</v>
      </c>
      <c r="AC209" t="s">
        <v>677</v>
      </c>
      <c r="AD209" t="s">
        <v>119</v>
      </c>
      <c r="AE209">
        <v>1382</v>
      </c>
      <c r="AF209" t="s">
        <v>120</v>
      </c>
      <c r="AI209">
        <v>13820000</v>
      </c>
      <c r="AJ209" t="s">
        <v>119</v>
      </c>
      <c r="AM209">
        <v>213112</v>
      </c>
      <c r="AN209" t="s">
        <v>74</v>
      </c>
      <c r="AQ209" t="s">
        <v>75</v>
      </c>
      <c r="AT209" t="s">
        <v>76</v>
      </c>
      <c r="BG209">
        <v>0</v>
      </c>
      <c r="CK209" s="19">
        <f>IF(BQ209&gt;0,BQ209,W209)</f>
        <v>1700000</v>
      </c>
      <c r="CL209" s="20">
        <f>IF(BS209&gt;0,BS209,Y209)</f>
        <v>0</v>
      </c>
      <c r="CM209" s="78">
        <f>IF(CG209&gt;0,CG209,AM209)</f>
        <v>213112</v>
      </c>
      <c r="CN209" s="80">
        <f>IF($BH209="",1,COUNTIF($BH$3:$BH209,$BH209))</f>
        <v>1</v>
      </c>
      <c r="CP209" t="str">
        <f>IF($K209="Standard Match","Match",IF($K209="Name Only Match",IF($CO209="Yes","Match","Name Only Match"),"No Match"))</f>
        <v>Match</v>
      </c>
      <c r="CQ209" s="35" t="str">
        <f>IF(AND(CP209="Match",CK209&gt;0,CL209&gt;0),"Y","N")</f>
        <v>N</v>
      </c>
      <c r="CS209" t="str">
        <f>IF($CQ209="Y",VLOOKUP($CM209,'SBA Size Standards'!$B$3:$G$57,MATCH('SBA Size Standards'!$G$3,'SBA Size Standards'!$B$3:$G$3,0),FALSE),"")</f>
        <v/>
      </c>
      <c r="CT209" s="60" t="str">
        <f>IF(CQ209="Y",IF($CS209="Employment","N/A",VLOOKUP($CM209,'SBA Size Standards'!$B$3:$G$57,MATCH('SBA Size Standards'!$E$3,'SBA Size Standards'!$B$3:$G$3,0),FALSE)),"")</f>
        <v/>
      </c>
      <c r="CU209" s="86" t="str">
        <f>IF($CQ209="Y",IF($CS209="Revenue","N/A",VLOOKUP($CM209,'SBA Size Standards'!$B$3:$G$57,MATCH('SBA Size Standards'!$F$3,'SBA Size Standards'!$B$3:$G$3,0),FALSE)),"")</f>
        <v/>
      </c>
      <c r="CV209" t="str">
        <f>IF($CQ209="Y",IF(OR(AND($CS209="Employment",$CL209&lt;$CU209),AND($CS209="Revenue",$CK209&lt;$CT209)),"YES","NO"),"")</f>
        <v/>
      </c>
      <c r="CW209" s="90" t="str">
        <f>IF($CQ209="Y",INDEX('SBA Size Standards'!$N$3:$N$12,MATCH($CK209,'SBA Size Standards'!$O$3:$O$12,1)),"")</f>
        <v/>
      </c>
      <c r="CX209" s="122" t="s">
        <v>4866</v>
      </c>
      <c r="CY209" s="122">
        <f>INDEX('NM O&amp;G Production'!$P$3:$P$537,MATCH(CX209,'NM O&amp;G Production'!$Q$3:$Q$537,0))</f>
        <v>287</v>
      </c>
      <c r="CZ209" s="122" t="str">
        <f>INDEX('NM O&amp;G Production'!$O$3:$O$537,MATCH(CY209,'NM O&amp;G Production'!$P$3:$P$537,0))</f>
        <v>No</v>
      </c>
      <c r="DA209" s="127">
        <f>INDEX('NM O&amp;G Production'!$K$3:$O$537,MATCH($CY209,'NM O&amp;G Production'!$P$3:$P$537,0),MATCH(DA$2,'NM O&amp;G Production'!$K$2:$O$2,0))</f>
        <v>0</v>
      </c>
      <c r="DB209" s="127">
        <f>INDEX('NM O&amp;G Production'!$K$3:$O$537,MATCH($CY209,'NM O&amp;G Production'!$P$3:$P$537,0),MATCH(DB$2,'NM O&amp;G Production'!$K$2:$O$2,0))</f>
        <v>0</v>
      </c>
      <c r="DC209" s="127"/>
      <c r="DD209" s="127">
        <f>INDEX('NM O&amp;G Production'!$K$3:$O$537,MATCH($CY209,'NM O&amp;G Production'!$P$3:$P$537,0),MATCH(DD$2,'NM O&amp;G Production'!$K$2:$O$2,0))</f>
        <v>0</v>
      </c>
      <c r="DE209" s="127">
        <f>INDEX('NM O&amp;G Production'!$K$3:$O$537,MATCH($CY209,'NM O&amp;G Production'!$P$3:$P$537,0),MATCH(DE$2,'NM O&amp;G Production'!$K$2:$O$2,0))</f>
        <v>0</v>
      </c>
      <c r="DF209" s="258" t="e">
        <f>CK209/(DB209+DA209)</f>
        <v>#DIV/0!</v>
      </c>
      <c r="DG209" s="57">
        <f>DD209*(12/18)*1.06*'Oil and Gas Prices'!$C$18</f>
        <v>0</v>
      </c>
      <c r="DH209" s="284">
        <f>DE209*(12/18)*'Oil and Gas Prices'!$C$4</f>
        <v>0</v>
      </c>
      <c r="DI209" s="284"/>
      <c r="DJ209" s="57" t="e">
        <f>(DG209+DH209)/(DA209+DB209)</f>
        <v>#DIV/0!</v>
      </c>
      <c r="DK209" s="18" t="e">
        <f>CK209/DI209</f>
        <v>#DIV/0!</v>
      </c>
    </row>
    <row r="210" spans="1:115" x14ac:dyDescent="0.25">
      <c r="A210" t="s">
        <v>2854</v>
      </c>
      <c r="B210" t="s">
        <v>2855</v>
      </c>
      <c r="D210" t="s">
        <v>153</v>
      </c>
      <c r="E210" t="s">
        <v>80</v>
      </c>
      <c r="F210">
        <v>79704</v>
      </c>
      <c r="G210" t="s">
        <v>62</v>
      </c>
      <c r="I210">
        <v>415</v>
      </c>
      <c r="J210" t="s">
        <v>63</v>
      </c>
      <c r="K210" t="s">
        <v>4133</v>
      </c>
      <c r="L210" t="s">
        <v>149</v>
      </c>
      <c r="M210">
        <v>10</v>
      </c>
      <c r="N210" t="s">
        <v>2856</v>
      </c>
      <c r="O210" t="s">
        <v>2857</v>
      </c>
      <c r="Q210" t="s">
        <v>2858</v>
      </c>
      <c r="R210" t="s">
        <v>153</v>
      </c>
      <c r="S210" t="s">
        <v>94</v>
      </c>
      <c r="T210" t="s">
        <v>2859</v>
      </c>
      <c r="U210" t="s">
        <v>62</v>
      </c>
      <c r="V210">
        <v>4326970967</v>
      </c>
      <c r="W210" s="1">
        <v>1699885</v>
      </c>
      <c r="X210">
        <v>15</v>
      </c>
      <c r="Y210">
        <v>15</v>
      </c>
      <c r="Z210">
        <v>1990</v>
      </c>
      <c r="AA210" t="s">
        <v>70</v>
      </c>
      <c r="AB210" t="s">
        <v>2860</v>
      </c>
      <c r="AC210" t="s">
        <v>98</v>
      </c>
      <c r="AD210" t="s">
        <v>99</v>
      </c>
      <c r="AE210">
        <v>1311</v>
      </c>
      <c r="AF210" t="s">
        <v>100</v>
      </c>
      <c r="AI210">
        <v>13110101</v>
      </c>
      <c r="AJ210" t="s">
        <v>102</v>
      </c>
      <c r="AM210">
        <v>211120</v>
      </c>
      <c r="AN210" t="s">
        <v>104</v>
      </c>
      <c r="AQ210" t="s">
        <v>75</v>
      </c>
      <c r="AT210" t="s">
        <v>76</v>
      </c>
      <c r="BF210">
        <v>0</v>
      </c>
      <c r="BG210">
        <v>0</v>
      </c>
      <c r="CK210" s="19">
        <f>IF(BQ210&gt;0,BQ210,W210)</f>
        <v>1699885</v>
      </c>
      <c r="CL210" s="20">
        <f>IF(BS210&gt;0,BS210,Y210)</f>
        <v>15</v>
      </c>
      <c r="CM210" s="34">
        <f>IF(CG210&gt;0,CG210,AM210)</f>
        <v>211120</v>
      </c>
      <c r="CN210" s="80">
        <f>IF($BH210="",1,COUNTIF($BH$3:$BH210,$BH210))</f>
        <v>1</v>
      </c>
      <c r="CP210" t="str">
        <f>IF($K210="Standard Match","Match",IF($K210="Name Only Match",IF($CO210="Yes","Match","Name Only Match"),"No Match"))</f>
        <v>Match</v>
      </c>
      <c r="CQ210" s="35" t="str">
        <f>IF(AND(CP210="Match",CK210&gt;0,CL210&gt;0),"Y","N")</f>
        <v>Y</v>
      </c>
      <c r="CS210" t="str">
        <f>IF($CQ210="Y",VLOOKUP($CM210,'SBA Size Standards'!$B$3:$G$57,MATCH('SBA Size Standards'!$G$3,'SBA Size Standards'!$B$3:$G$3,0),FALSE),"")</f>
        <v>Employment</v>
      </c>
      <c r="CT210" s="60" t="str">
        <f>IF(CQ210="Y",IF($CS210="Employment","N/A",VLOOKUP($CM210,'SBA Size Standards'!$B$3:$G$57,MATCH('SBA Size Standards'!$E$3,'SBA Size Standards'!$B$3:$G$3,0),FALSE)),"")</f>
        <v>N/A</v>
      </c>
      <c r="CU210" s="86">
        <f>IF($CQ210="Y",IF($CS210="Revenue","N/A",VLOOKUP($CM210,'SBA Size Standards'!$B$3:$G$57,MATCH('SBA Size Standards'!$F$3,'SBA Size Standards'!$B$3:$G$3,0),FALSE)),"")</f>
        <v>1250</v>
      </c>
      <c r="CV210" t="str">
        <f>IF($CQ210="Y",IF(OR(AND($CS210="Employment",$CL210&lt;$CU210),AND($CS210="Revenue",$CK210&lt;$CT210)),"YES","NO"),"")</f>
        <v>YES</v>
      </c>
      <c r="CW210" s="90" t="str">
        <f>IF($CQ210="Y",INDEX('SBA Size Standards'!$N$3:$N$12,MATCH($CK210,'SBA Size Standards'!$O$3:$O$12,1)),"")</f>
        <v>$1,000,001 - $5,000,000</v>
      </c>
      <c r="CX210" s="122" t="s">
        <v>4734</v>
      </c>
      <c r="CY210" s="122">
        <f>INDEX('NM O&amp;G Production'!$P$3:$P$537,MATCH(CX210,'NM O&amp;G Production'!$Q$3:$Q$537,0))</f>
        <v>415</v>
      </c>
      <c r="CZ210" s="122" t="str">
        <f>INDEX('NM O&amp;G Production'!$O$3:$O$537,MATCH(CY210,'NM O&amp;G Production'!$P$3:$P$537,0))</f>
        <v>Yes</v>
      </c>
      <c r="DA210" s="127">
        <f>INDEX('NM O&amp;G Production'!$K$3:$O$537,MATCH($CY210,'NM O&amp;G Production'!$P$3:$P$537,0),MATCH(DA$2,'NM O&amp;G Production'!$K$2:$O$2,0))</f>
        <v>0</v>
      </c>
      <c r="DB210" s="127">
        <f>INDEX('NM O&amp;G Production'!$K$3:$O$537,MATCH($CY210,'NM O&amp;G Production'!$P$3:$P$537,0),MATCH(DB$2,'NM O&amp;G Production'!$K$2:$O$2,0))</f>
        <v>87</v>
      </c>
      <c r="DC210" s="127">
        <f>DA210+DB210</f>
        <v>87</v>
      </c>
      <c r="DD210" s="127">
        <f>INDEX('NM O&amp;G Production'!$K$3:$O$537,MATCH($CY210,'NM O&amp;G Production'!$P$3:$P$537,0),MATCH(DD$2,'NM O&amp;G Production'!$K$2:$O$2,0))</f>
        <v>27708</v>
      </c>
      <c r="DE210" s="127">
        <f>INDEX('NM O&amp;G Production'!$K$3:$O$537,MATCH($CY210,'NM O&amp;G Production'!$P$3:$P$537,0),MATCH(DE$2,'NM O&amp;G Production'!$K$2:$O$2,0))</f>
        <v>28116</v>
      </c>
      <c r="DF210" s="258">
        <f>CK210/(DB210+DA210)</f>
        <v>19538.908045977012</v>
      </c>
      <c r="DG210" s="57">
        <f>DD210*(12/18)*1.06*'Oil and Gas Prices'!$C$18</f>
        <v>46796.964800000002</v>
      </c>
      <c r="DH210" s="284">
        <f>DE210*(12/18)*'Oil and Gas Prices'!$C$4</f>
        <v>843480</v>
      </c>
      <c r="DI210" s="284">
        <f>DG210+DH210</f>
        <v>890276.96479999996</v>
      </c>
      <c r="DJ210" s="57">
        <f>(DG210+DH210)/(DA210+DB210)</f>
        <v>10233.068560919539</v>
      </c>
      <c r="DK210" s="318"/>
    </row>
    <row r="211" spans="1:115" x14ac:dyDescent="0.25">
      <c r="A211" t="s">
        <v>1817</v>
      </c>
      <c r="B211" t="s">
        <v>1818</v>
      </c>
      <c r="D211" t="s">
        <v>344</v>
      </c>
      <c r="E211" t="s">
        <v>80</v>
      </c>
      <c r="F211">
        <v>79714</v>
      </c>
      <c r="G211" t="s">
        <v>62</v>
      </c>
      <c r="I211">
        <v>250</v>
      </c>
      <c r="J211" t="s">
        <v>89</v>
      </c>
      <c r="K211" t="s">
        <v>4133</v>
      </c>
      <c r="L211" t="s">
        <v>149</v>
      </c>
      <c r="M211">
        <v>10</v>
      </c>
      <c r="N211" t="s">
        <v>1819</v>
      </c>
      <c r="O211" t="s">
        <v>1820</v>
      </c>
      <c r="P211" t="s">
        <v>1821</v>
      </c>
      <c r="Q211" t="s">
        <v>1822</v>
      </c>
      <c r="R211" t="s">
        <v>344</v>
      </c>
      <c r="S211" t="s">
        <v>94</v>
      </c>
      <c r="T211" t="s">
        <v>1823</v>
      </c>
      <c r="U211" t="s">
        <v>62</v>
      </c>
      <c r="V211">
        <v>4325232960</v>
      </c>
      <c r="W211" s="1">
        <v>1654907</v>
      </c>
      <c r="X211">
        <v>15</v>
      </c>
      <c r="Y211">
        <v>15</v>
      </c>
      <c r="Z211">
        <v>1951</v>
      </c>
      <c r="AA211" t="s">
        <v>70</v>
      </c>
      <c r="AB211" t="s">
        <v>1824</v>
      </c>
      <c r="AC211" t="s">
        <v>98</v>
      </c>
      <c r="AD211" t="s">
        <v>1825</v>
      </c>
      <c r="AE211">
        <v>4212</v>
      </c>
      <c r="AF211" t="s">
        <v>1826</v>
      </c>
      <c r="AG211">
        <v>1389</v>
      </c>
      <c r="AH211" t="s">
        <v>72</v>
      </c>
      <c r="AI211">
        <v>42120000</v>
      </c>
      <c r="AJ211" t="s">
        <v>1827</v>
      </c>
      <c r="AK211">
        <v>13899912</v>
      </c>
      <c r="AL211" t="s">
        <v>426</v>
      </c>
      <c r="AM211">
        <v>484110</v>
      </c>
      <c r="AN211" t="s">
        <v>1828</v>
      </c>
      <c r="AO211">
        <v>213112</v>
      </c>
      <c r="AP211" t="s">
        <v>74</v>
      </c>
      <c r="AQ211" t="s">
        <v>75</v>
      </c>
      <c r="AT211" t="s">
        <v>76</v>
      </c>
      <c r="BF211">
        <v>0</v>
      </c>
      <c r="BG211">
        <v>0</v>
      </c>
      <c r="CK211" s="19">
        <f>IF(BQ211&gt;0,BQ211,W211)</f>
        <v>1654907</v>
      </c>
      <c r="CL211" s="20">
        <f>IF(BS211&gt;0,BS211,Y211)</f>
        <v>15</v>
      </c>
      <c r="CM211" s="34">
        <f>IF(CG211&gt;0,CG211,AM211)</f>
        <v>484110</v>
      </c>
      <c r="CN211" s="80">
        <f>IF($BH211="",1,COUNTIF($BH$3:$BH211,$BH211))</f>
        <v>1</v>
      </c>
      <c r="CP211" t="str">
        <f>IF($K211="Standard Match","Match",IF($K211="Name Only Match",IF($CO211="Yes","Match","Name Only Match"),"No Match"))</f>
        <v>Match</v>
      </c>
      <c r="CQ211" s="35" t="str">
        <f>IF(AND(CP211="Match",CK211&gt;0,CL211&gt;0),"Y","N")</f>
        <v>Y</v>
      </c>
      <c r="CS211" t="str">
        <f>IF($CQ211="Y",VLOOKUP($CM211,'SBA Size Standards'!$B$3:$G$57,MATCH('SBA Size Standards'!$G$3,'SBA Size Standards'!$B$3:$G$3,0),FALSE),"")</f>
        <v>Revenue</v>
      </c>
      <c r="CT211" s="60">
        <f>IF(CQ211="Y",IF($CS211="Employment","N/A",VLOOKUP($CM211,'SBA Size Standards'!$B$3:$G$57,MATCH('SBA Size Standards'!$E$3,'SBA Size Standards'!$B$3:$G$3,0),FALSE)),"")</f>
        <v>30000000</v>
      </c>
      <c r="CU211" s="86" t="str">
        <f>IF($CQ211="Y",IF($CS211="Revenue","N/A",VLOOKUP($CM211,'SBA Size Standards'!$B$3:$G$57,MATCH('SBA Size Standards'!$F$3,'SBA Size Standards'!$B$3:$G$3,0),FALSE)),"")</f>
        <v>N/A</v>
      </c>
      <c r="CV211" t="str">
        <f>IF($CQ211="Y",IF(OR(AND($CS211="Employment",$CL211&lt;$CU211),AND($CS211="Revenue",$CK211&lt;$CT211)),"YES","NO"),"")</f>
        <v>YES</v>
      </c>
      <c r="CW211" s="90" t="str">
        <f>IF($CQ211="Y",INDEX('SBA Size Standards'!$N$3:$N$12,MATCH($CK211,'SBA Size Standards'!$O$3:$O$12,1)),"")</f>
        <v>$1,000,001 - $5,000,000</v>
      </c>
      <c r="CX211" s="122" t="s">
        <v>4656</v>
      </c>
      <c r="CY211" s="122">
        <f>INDEX('NM O&amp;G Production'!$P$3:$P$537,MATCH(CX211,'NM O&amp;G Production'!$Q$3:$Q$537,0))</f>
        <v>250</v>
      </c>
      <c r="CZ211" s="122" t="str">
        <f>INDEX('NM O&amp;G Production'!$O$3:$O$537,MATCH(CY211,'NM O&amp;G Production'!$P$3:$P$537,0))</f>
        <v>Yes</v>
      </c>
      <c r="DA211" s="127">
        <f>INDEX('NM O&amp;G Production'!$K$3:$O$537,MATCH($CY211,'NM O&amp;G Production'!$P$3:$P$537,0),MATCH(DA$2,'NM O&amp;G Production'!$K$2:$O$2,0))</f>
        <v>3</v>
      </c>
      <c r="DB211" s="127">
        <f>INDEX('NM O&amp;G Production'!$K$3:$O$537,MATCH($CY211,'NM O&amp;G Production'!$P$3:$P$537,0),MATCH(DB$2,'NM O&amp;G Production'!$K$2:$O$2,0))</f>
        <v>2</v>
      </c>
      <c r="DC211" s="127">
        <f>DA211+DB211</f>
        <v>5</v>
      </c>
      <c r="DD211" s="127">
        <f>INDEX('NM O&amp;G Production'!$K$3:$O$537,MATCH($CY211,'NM O&amp;G Production'!$P$3:$P$537,0),MATCH(DD$2,'NM O&amp;G Production'!$K$2:$O$2,0))</f>
        <v>22250</v>
      </c>
      <c r="DE211" s="127">
        <f>INDEX('NM O&amp;G Production'!$K$3:$O$537,MATCH($CY211,'NM O&amp;G Production'!$P$3:$P$537,0),MATCH(DE$2,'NM O&amp;G Production'!$K$2:$O$2,0))</f>
        <v>1992</v>
      </c>
      <c r="DF211" s="258">
        <f>CK211/(DB211+DA211)</f>
        <v>330981.40000000002</v>
      </c>
      <c r="DG211" s="57">
        <f>DD211*(12/18)*1.06*'Oil and Gas Prices'!$C$18</f>
        <v>37578.766666666663</v>
      </c>
      <c r="DH211" s="284">
        <f>DE211*(12/18)*'Oil and Gas Prices'!$C$4</f>
        <v>59760</v>
      </c>
      <c r="DI211" s="284">
        <f>DG211+DH211</f>
        <v>97338.766666666663</v>
      </c>
      <c r="DJ211" s="57">
        <f>(DG211+DH211)/(DA211+DB211)</f>
        <v>19467.753333333334</v>
      </c>
      <c r="DK211" s="319"/>
    </row>
    <row r="212" spans="1:115" x14ac:dyDescent="0.25">
      <c r="A212" t="s">
        <v>3037</v>
      </c>
      <c r="B212" t="s">
        <v>3038</v>
      </c>
      <c r="D212" t="s">
        <v>88</v>
      </c>
      <c r="E212" t="s">
        <v>80</v>
      </c>
      <c r="F212">
        <v>76102</v>
      </c>
      <c r="G212" t="s">
        <v>62</v>
      </c>
      <c r="I212">
        <v>443</v>
      </c>
      <c r="J212" t="s">
        <v>63</v>
      </c>
      <c r="K212" t="s">
        <v>4133</v>
      </c>
      <c r="L212" t="s">
        <v>64</v>
      </c>
      <c r="M212">
        <v>10</v>
      </c>
      <c r="N212" t="s">
        <v>3039</v>
      </c>
      <c r="O212" t="s">
        <v>3040</v>
      </c>
      <c r="Q212" t="s">
        <v>2240</v>
      </c>
      <c r="R212" t="s">
        <v>88</v>
      </c>
      <c r="S212" t="s">
        <v>94</v>
      </c>
      <c r="T212" t="s">
        <v>2241</v>
      </c>
      <c r="U212" t="s">
        <v>62</v>
      </c>
      <c r="V212">
        <v>8173347800</v>
      </c>
      <c r="W212" s="1">
        <v>1646237</v>
      </c>
      <c r="X212">
        <v>4</v>
      </c>
      <c r="Y212">
        <v>4</v>
      </c>
      <c r="Z212">
        <v>2015</v>
      </c>
      <c r="AA212" t="s">
        <v>70</v>
      </c>
      <c r="AB212" t="s">
        <v>3041</v>
      </c>
      <c r="AC212" t="s">
        <v>145</v>
      </c>
      <c r="AD212" t="s">
        <v>119</v>
      </c>
      <c r="AE212">
        <v>1382</v>
      </c>
      <c r="AF212" t="s">
        <v>120</v>
      </c>
      <c r="AI212">
        <v>13820000</v>
      </c>
      <c r="AJ212" t="s">
        <v>119</v>
      </c>
      <c r="AM212">
        <v>213112</v>
      </c>
      <c r="AN212" t="s">
        <v>74</v>
      </c>
      <c r="AQ212" t="s">
        <v>75</v>
      </c>
      <c r="AT212" t="s">
        <v>76</v>
      </c>
      <c r="BF212">
        <v>0</v>
      </c>
      <c r="BG212">
        <v>0</v>
      </c>
      <c r="CK212" s="19">
        <f>IF(BQ212&gt;0,BQ212,W212)</f>
        <v>1646237</v>
      </c>
      <c r="CL212" s="20">
        <f>IF(BS212&gt;0,BS212,Y212)</f>
        <v>4</v>
      </c>
      <c r="CM212" s="34">
        <f>IF(CG212&gt;0,CG212,AM212)</f>
        <v>213112</v>
      </c>
      <c r="CN212" s="80">
        <f>IF($BH212="",1,COUNTIF($BH$3:$BH212,$BH212))</f>
        <v>1</v>
      </c>
      <c r="CP212" t="str">
        <f>IF($K212="Standard Match","Match",IF($K212="Name Only Match",IF($CO212="Yes","Match","Name Only Match"),"No Match"))</f>
        <v>Match</v>
      </c>
      <c r="CQ212" s="35" t="str">
        <f>IF(AND(CP212="Match",CK212&gt;0,CL212&gt;0),"Y","N")</f>
        <v>Y</v>
      </c>
      <c r="CS212" t="str">
        <f>IF($CQ212="Y",VLOOKUP($CM212,'SBA Size Standards'!$B$3:$G$57,MATCH('SBA Size Standards'!$G$3,'SBA Size Standards'!$B$3:$G$3,0),FALSE),"")</f>
        <v>Revenue</v>
      </c>
      <c r="CT212" s="60">
        <f>IF(CQ212="Y",IF($CS212="Employment","N/A",VLOOKUP($CM212,'SBA Size Standards'!$B$3:$G$57,MATCH('SBA Size Standards'!$E$3,'SBA Size Standards'!$B$3:$G$3,0),FALSE)),"")</f>
        <v>41500000</v>
      </c>
      <c r="CU212" s="86" t="str">
        <f>IF($CQ212="Y",IF($CS212="Revenue","N/A",VLOOKUP($CM212,'SBA Size Standards'!$B$3:$G$57,MATCH('SBA Size Standards'!$F$3,'SBA Size Standards'!$B$3:$G$3,0),FALSE)),"")</f>
        <v>N/A</v>
      </c>
      <c r="CV212" t="str">
        <f>IF($CQ212="Y",IF(OR(AND($CS212="Employment",$CL212&lt;$CU212),AND($CS212="Revenue",$CK212&lt;$CT212)),"YES","NO"),"")</f>
        <v>YES</v>
      </c>
      <c r="CW212" s="90" t="str">
        <f>IF($CQ212="Y",INDEX('SBA Size Standards'!$N$3:$N$12,MATCH($CK212,'SBA Size Standards'!$O$3:$O$12,1)),"")</f>
        <v>$1,000,001 - $5,000,000</v>
      </c>
      <c r="CX212" s="122" t="s">
        <v>4750</v>
      </c>
      <c r="CY212" s="122">
        <f>INDEX('NM O&amp;G Production'!$P$3:$P$537,MATCH(CX212,'NM O&amp;G Production'!$Q$3:$Q$537,0))</f>
        <v>443</v>
      </c>
      <c r="CZ212" s="122" t="str">
        <f>INDEX('NM O&amp;G Production'!$O$3:$O$537,MATCH(CY212,'NM O&amp;G Production'!$P$3:$P$537,0))</f>
        <v>Yes</v>
      </c>
      <c r="DA212" s="127">
        <f>INDEX('NM O&amp;G Production'!$K$3:$O$537,MATCH($CY212,'NM O&amp;G Production'!$P$3:$P$537,0),MATCH(DA$2,'NM O&amp;G Production'!$K$2:$O$2,0))</f>
        <v>27</v>
      </c>
      <c r="DB212" s="127">
        <f>INDEX('NM O&amp;G Production'!$K$3:$O$537,MATCH($CY212,'NM O&amp;G Production'!$P$3:$P$537,0),MATCH(DB$2,'NM O&amp;G Production'!$K$2:$O$2,0))</f>
        <v>28</v>
      </c>
      <c r="DC212" s="127">
        <f>DA212+DB212</f>
        <v>55</v>
      </c>
      <c r="DD212" s="127">
        <f>INDEX('NM O&amp;G Production'!$K$3:$O$537,MATCH($CY212,'NM O&amp;G Production'!$P$3:$P$537,0),MATCH(DD$2,'NM O&amp;G Production'!$K$2:$O$2,0))</f>
        <v>3097042</v>
      </c>
      <c r="DE212" s="127">
        <f>INDEX('NM O&amp;G Production'!$K$3:$O$537,MATCH($CY212,'NM O&amp;G Production'!$P$3:$P$537,0),MATCH(DE$2,'NM O&amp;G Production'!$K$2:$O$2,0))</f>
        <v>1415</v>
      </c>
      <c r="DF212" s="258">
        <f>CK212/(DB212+DA212)</f>
        <v>29931.581818181818</v>
      </c>
      <c r="DG212" s="57">
        <f>DD212*(12/18)*1.06*'Oil and Gas Prices'!$C$18</f>
        <v>5230697.4685333334</v>
      </c>
      <c r="DH212" s="284">
        <f>DE212*(12/18)*'Oil and Gas Prices'!$C$4</f>
        <v>42450</v>
      </c>
      <c r="DI212" s="284">
        <f>DG212+DH212</f>
        <v>5273147.4685333334</v>
      </c>
      <c r="DJ212" s="57">
        <f>(DG212+DH212)/(DA212+DB212)</f>
        <v>95875.408518787881</v>
      </c>
      <c r="DK212" s="318"/>
    </row>
    <row r="213" spans="1:115" x14ac:dyDescent="0.25">
      <c r="A213" t="s">
        <v>3121</v>
      </c>
      <c r="B213" t="s">
        <v>3122</v>
      </c>
      <c r="D213" t="s">
        <v>209</v>
      </c>
      <c r="E213" t="s">
        <v>84</v>
      </c>
      <c r="F213">
        <v>882021030</v>
      </c>
      <c r="G213" t="s">
        <v>62</v>
      </c>
      <c r="I213">
        <v>458</v>
      </c>
      <c r="J213" t="s">
        <v>392</v>
      </c>
      <c r="K213" t="s">
        <v>4133</v>
      </c>
      <c r="L213" t="s">
        <v>149</v>
      </c>
      <c r="M213">
        <v>10</v>
      </c>
      <c r="N213" t="s">
        <v>3123</v>
      </c>
      <c r="O213" t="s">
        <v>3124</v>
      </c>
      <c r="Q213" t="s">
        <v>3125</v>
      </c>
      <c r="R213" t="s">
        <v>209</v>
      </c>
      <c r="S213" t="s">
        <v>214</v>
      </c>
      <c r="T213" t="s">
        <v>3126</v>
      </c>
      <c r="U213" t="s">
        <v>62</v>
      </c>
      <c r="V213">
        <v>5756231957</v>
      </c>
      <c r="W213" s="1">
        <v>1630955</v>
      </c>
      <c r="X213">
        <v>10</v>
      </c>
      <c r="Y213">
        <v>10</v>
      </c>
      <c r="Z213">
        <v>1976</v>
      </c>
      <c r="AA213" t="s">
        <v>70</v>
      </c>
      <c r="AB213" t="s">
        <v>3127</v>
      </c>
      <c r="AC213" t="s">
        <v>98</v>
      </c>
      <c r="AD213" t="s">
        <v>119</v>
      </c>
      <c r="AE213">
        <v>1382</v>
      </c>
      <c r="AF213" t="s">
        <v>120</v>
      </c>
      <c r="AI213">
        <v>13820000</v>
      </c>
      <c r="AJ213" t="s">
        <v>119</v>
      </c>
      <c r="AM213">
        <v>213112</v>
      </c>
      <c r="AN213" t="s">
        <v>74</v>
      </c>
      <c r="AQ213" t="s">
        <v>75</v>
      </c>
      <c r="AT213" t="s">
        <v>76</v>
      </c>
      <c r="BF213">
        <v>0</v>
      </c>
      <c r="BG213">
        <v>0</v>
      </c>
      <c r="CK213" s="19">
        <f>IF(BQ213&gt;0,BQ213,W213)</f>
        <v>1630955</v>
      </c>
      <c r="CL213" s="20">
        <f>IF(BS213&gt;0,BS213,Y213)</f>
        <v>10</v>
      </c>
      <c r="CM213" s="34">
        <f>IF(CG213&gt;0,CG213,AM213)</f>
        <v>213112</v>
      </c>
      <c r="CN213" s="80">
        <f>IF($BH213="",1,COUNTIF($BH$3:$BH213,$BH213))</f>
        <v>1</v>
      </c>
      <c r="CP213" t="str">
        <f>IF($K213="Standard Match","Match",IF($K213="Name Only Match",IF($CO213="Yes","Match","Name Only Match"),"No Match"))</f>
        <v>Match</v>
      </c>
      <c r="CQ213" s="35" t="str">
        <f>IF(AND(CP213="Match",CK213&gt;0,CL213&gt;0),"Y","N")</f>
        <v>Y</v>
      </c>
      <c r="CS213" t="str">
        <f>IF($CQ213="Y",VLOOKUP($CM213,'SBA Size Standards'!$B$3:$G$57,MATCH('SBA Size Standards'!$G$3,'SBA Size Standards'!$B$3:$G$3,0),FALSE),"")</f>
        <v>Revenue</v>
      </c>
      <c r="CT213" s="60">
        <f>IF(CQ213="Y",IF($CS213="Employment","N/A",VLOOKUP($CM213,'SBA Size Standards'!$B$3:$G$57,MATCH('SBA Size Standards'!$E$3,'SBA Size Standards'!$B$3:$G$3,0),FALSE)),"")</f>
        <v>41500000</v>
      </c>
      <c r="CU213" s="86" t="str">
        <f>IF($CQ213="Y",IF($CS213="Revenue","N/A",VLOOKUP($CM213,'SBA Size Standards'!$B$3:$G$57,MATCH('SBA Size Standards'!$F$3,'SBA Size Standards'!$B$3:$G$3,0),FALSE)),"")</f>
        <v>N/A</v>
      </c>
      <c r="CV213" t="str">
        <f>IF($CQ213="Y",IF(OR(AND($CS213="Employment",$CL213&lt;$CU213),AND($CS213="Revenue",$CK213&lt;$CT213)),"YES","NO"),"")</f>
        <v>YES</v>
      </c>
      <c r="CW213" s="90" t="str">
        <f>IF($CQ213="Y",INDEX('SBA Size Standards'!$N$3:$N$12,MATCH($CK213,'SBA Size Standards'!$O$3:$O$12,1)),"")</f>
        <v>$1,000,001 - $5,000,000</v>
      </c>
      <c r="CX213" s="122" t="s">
        <v>4758</v>
      </c>
      <c r="CY213" s="122">
        <f>INDEX('NM O&amp;G Production'!$P$3:$P$537,MATCH(CX213,'NM O&amp;G Production'!$Q$3:$Q$537,0))</f>
        <v>458</v>
      </c>
      <c r="CZ213" s="122" t="str">
        <f>INDEX('NM O&amp;G Production'!$O$3:$O$537,MATCH(CY213,'NM O&amp;G Production'!$P$3:$P$537,0))</f>
        <v>Yes</v>
      </c>
      <c r="DA213" s="127">
        <f>INDEX('NM O&amp;G Production'!$K$3:$O$537,MATCH($CY213,'NM O&amp;G Production'!$P$3:$P$537,0),MATCH(DA$2,'NM O&amp;G Production'!$K$2:$O$2,0))</f>
        <v>10</v>
      </c>
      <c r="DB213" s="127">
        <f>INDEX('NM O&amp;G Production'!$K$3:$O$537,MATCH($CY213,'NM O&amp;G Production'!$P$3:$P$537,0),MATCH(DB$2,'NM O&amp;G Production'!$K$2:$O$2,0))</f>
        <v>22</v>
      </c>
      <c r="DC213" s="127">
        <f>DA213+DB213</f>
        <v>32</v>
      </c>
      <c r="DD213" s="127">
        <f>INDEX('NM O&amp;G Production'!$K$3:$O$537,MATCH($CY213,'NM O&amp;G Production'!$P$3:$P$537,0),MATCH(DD$2,'NM O&amp;G Production'!$K$2:$O$2,0))</f>
        <v>610167</v>
      </c>
      <c r="DE213" s="127">
        <f>INDEX('NM O&amp;G Production'!$K$3:$O$537,MATCH($CY213,'NM O&amp;G Production'!$P$3:$P$537,0),MATCH(DE$2,'NM O&amp;G Production'!$K$2:$O$2,0))</f>
        <v>279832</v>
      </c>
      <c r="DF213" s="258">
        <f>CK213/(DB213+DA213)</f>
        <v>50967.34375</v>
      </c>
      <c r="DG213" s="57">
        <f>DD213*(12/18)*1.06*'Oil and Gas Prices'!$C$18</f>
        <v>1030531.3852</v>
      </c>
      <c r="DH213" s="284">
        <f>DE213*(12/18)*'Oil and Gas Prices'!$C$4</f>
        <v>8394960</v>
      </c>
      <c r="DI213" s="284">
        <f>DG213+DH213</f>
        <v>9425491.3851999994</v>
      </c>
      <c r="DJ213" s="57">
        <f>(DG213+DH213)/(DA213+DB213)</f>
        <v>294546.60578749998</v>
      </c>
      <c r="DK213" s="318"/>
    </row>
    <row r="214" spans="1:115" x14ac:dyDescent="0.25">
      <c r="A214" t="s">
        <v>870</v>
      </c>
      <c r="B214" t="s">
        <v>871</v>
      </c>
      <c r="D214" t="s">
        <v>153</v>
      </c>
      <c r="E214" t="s">
        <v>80</v>
      </c>
      <c r="F214">
        <v>79707</v>
      </c>
      <c r="G214" t="s">
        <v>62</v>
      </c>
      <c r="I214">
        <v>111</v>
      </c>
      <c r="J214" t="s">
        <v>63</v>
      </c>
      <c r="K214" t="s">
        <v>4133</v>
      </c>
      <c r="L214" t="s">
        <v>64</v>
      </c>
      <c r="M214">
        <v>10</v>
      </c>
      <c r="N214" t="s">
        <v>872</v>
      </c>
      <c r="O214" t="s">
        <v>873</v>
      </c>
      <c r="Q214" t="s">
        <v>874</v>
      </c>
      <c r="R214" t="s">
        <v>153</v>
      </c>
      <c r="S214" t="s">
        <v>94</v>
      </c>
      <c r="T214" t="s">
        <v>875</v>
      </c>
      <c r="U214" t="s">
        <v>62</v>
      </c>
      <c r="V214">
        <v>4326973420</v>
      </c>
      <c r="W214" s="1">
        <v>1620902</v>
      </c>
      <c r="X214">
        <v>6</v>
      </c>
      <c r="Y214">
        <v>6</v>
      </c>
      <c r="Z214">
        <v>1987</v>
      </c>
      <c r="AA214" t="s">
        <v>70</v>
      </c>
      <c r="AB214" t="s">
        <v>876</v>
      </c>
      <c r="AC214" t="s">
        <v>98</v>
      </c>
      <c r="AD214" t="s">
        <v>99</v>
      </c>
      <c r="AE214">
        <v>1311</v>
      </c>
      <c r="AF214" t="s">
        <v>100</v>
      </c>
      <c r="AI214">
        <v>13110101</v>
      </c>
      <c r="AJ214" t="s">
        <v>102</v>
      </c>
      <c r="AM214">
        <v>211120</v>
      </c>
      <c r="AN214" t="s">
        <v>104</v>
      </c>
      <c r="AQ214" t="s">
        <v>75</v>
      </c>
      <c r="AT214" t="s">
        <v>76</v>
      </c>
      <c r="BF214">
        <v>0</v>
      </c>
      <c r="BG214">
        <v>0</v>
      </c>
      <c r="CK214" s="19">
        <f>IF(BQ214&gt;0,BQ214,W214)</f>
        <v>1620902</v>
      </c>
      <c r="CL214" s="20">
        <f>IF(BS214&gt;0,BS214,Y214)</f>
        <v>6</v>
      </c>
      <c r="CM214" s="34">
        <f>IF(CG214&gt;0,CG214,AM214)</f>
        <v>211120</v>
      </c>
      <c r="CN214" s="80">
        <f>IF($BH214="",1,COUNTIF($BH$3:$BH214,$BH214))</f>
        <v>1</v>
      </c>
      <c r="CP214" t="str">
        <f>IF($K214="Standard Match","Match",IF($K214="Name Only Match",IF($CO214="Yes","Match","Name Only Match"),"No Match"))</f>
        <v>Match</v>
      </c>
      <c r="CQ214" s="35" t="str">
        <f>IF(AND(CP214="Match",CK214&gt;0,CL214&gt;0),"Y","N")</f>
        <v>Y</v>
      </c>
      <c r="CS214" t="str">
        <f>IF($CQ214="Y",VLOOKUP($CM214,'SBA Size Standards'!$B$3:$G$57,MATCH('SBA Size Standards'!$G$3,'SBA Size Standards'!$B$3:$G$3,0),FALSE),"")</f>
        <v>Employment</v>
      </c>
      <c r="CT214" s="60" t="str">
        <f>IF(CQ214="Y",IF($CS214="Employment","N/A",VLOOKUP($CM214,'SBA Size Standards'!$B$3:$G$57,MATCH('SBA Size Standards'!$E$3,'SBA Size Standards'!$B$3:$G$3,0),FALSE)),"")</f>
        <v>N/A</v>
      </c>
      <c r="CU214" s="86">
        <f>IF($CQ214="Y",IF($CS214="Revenue","N/A",VLOOKUP($CM214,'SBA Size Standards'!$B$3:$G$57,MATCH('SBA Size Standards'!$F$3,'SBA Size Standards'!$B$3:$G$3,0),FALSE)),"")</f>
        <v>1250</v>
      </c>
      <c r="CV214" t="str">
        <f>IF($CQ214="Y",IF(OR(AND($CS214="Employment",$CL214&lt;$CU214),AND($CS214="Revenue",$CK214&lt;$CT214)),"YES","NO"),"")</f>
        <v>YES</v>
      </c>
      <c r="CW214" s="90" t="str">
        <f>IF($CQ214="Y",INDEX('SBA Size Standards'!$N$3:$N$12,MATCH($CK214,'SBA Size Standards'!$O$3:$O$12,1)),"")</f>
        <v>$1,000,001 - $5,000,000</v>
      </c>
      <c r="CX214" s="122" t="s">
        <v>4584</v>
      </c>
      <c r="CY214" s="122">
        <f>INDEX('NM O&amp;G Production'!$P$3:$P$537,MATCH(CX214,'NM O&amp;G Production'!$Q$3:$Q$537,0))</f>
        <v>111</v>
      </c>
      <c r="CZ214" s="122" t="str">
        <f>INDEX('NM O&amp;G Production'!$O$3:$O$537,MATCH(CY214,'NM O&amp;G Production'!$P$3:$P$537,0))</f>
        <v>Yes</v>
      </c>
      <c r="DA214" s="127">
        <f>INDEX('NM O&amp;G Production'!$K$3:$O$537,MATCH($CY214,'NM O&amp;G Production'!$P$3:$P$537,0),MATCH(DA$2,'NM O&amp;G Production'!$K$2:$O$2,0))</f>
        <v>1</v>
      </c>
      <c r="DB214" s="127">
        <f>INDEX('NM O&amp;G Production'!$K$3:$O$537,MATCH($CY214,'NM O&amp;G Production'!$P$3:$P$537,0),MATCH(DB$2,'NM O&amp;G Production'!$K$2:$O$2,0))</f>
        <v>10</v>
      </c>
      <c r="DC214" s="127">
        <f>DA214+DB214</f>
        <v>11</v>
      </c>
      <c r="DD214" s="127">
        <f>INDEX('NM O&amp;G Production'!$K$3:$O$537,MATCH($CY214,'NM O&amp;G Production'!$P$3:$P$537,0),MATCH(DD$2,'NM O&amp;G Production'!$K$2:$O$2,0))</f>
        <v>25644</v>
      </c>
      <c r="DE214" s="127">
        <f>INDEX('NM O&amp;G Production'!$K$3:$O$537,MATCH($CY214,'NM O&amp;G Production'!$P$3:$P$537,0),MATCH(DE$2,'NM O&amp;G Production'!$K$2:$O$2,0))</f>
        <v>23565</v>
      </c>
      <c r="DF214" s="258">
        <f>CK214/(DB214+DA214)</f>
        <v>147354.72727272726</v>
      </c>
      <c r="DG214" s="57">
        <f>DD214*(12/18)*1.06*'Oil and Gas Prices'!$C$18</f>
        <v>43311.006400000006</v>
      </c>
      <c r="DH214" s="284">
        <f>DE214*(12/18)*'Oil and Gas Prices'!$C$4</f>
        <v>706950</v>
      </c>
      <c r="DI214" s="284">
        <f>DG214+DH214</f>
        <v>750261.00639999995</v>
      </c>
      <c r="DJ214" s="57">
        <f>(DG214+DH214)/(DA214+DB214)</f>
        <v>68205.546036363638</v>
      </c>
      <c r="DK214" s="319"/>
    </row>
    <row r="215" spans="1:115" x14ac:dyDescent="0.25">
      <c r="A215" t="s">
        <v>3350</v>
      </c>
      <c r="B215" t="s">
        <v>3351</v>
      </c>
      <c r="D215" t="s">
        <v>153</v>
      </c>
      <c r="E215" t="s">
        <v>80</v>
      </c>
      <c r="F215">
        <v>79701</v>
      </c>
      <c r="G215" t="s">
        <v>62</v>
      </c>
      <c r="I215">
        <v>496</v>
      </c>
      <c r="J215" t="s">
        <v>63</v>
      </c>
      <c r="K215" t="s">
        <v>4133</v>
      </c>
      <c r="L215" t="s">
        <v>64</v>
      </c>
      <c r="M215">
        <v>10</v>
      </c>
      <c r="N215" t="s">
        <v>3352</v>
      </c>
      <c r="O215" t="s">
        <v>3353</v>
      </c>
      <c r="Q215" t="s">
        <v>2809</v>
      </c>
      <c r="R215" t="s">
        <v>153</v>
      </c>
      <c r="S215" t="s">
        <v>94</v>
      </c>
      <c r="T215" t="s">
        <v>2810</v>
      </c>
      <c r="U215" t="s">
        <v>62</v>
      </c>
      <c r="V215">
        <v>4326850014</v>
      </c>
      <c r="W215" s="1">
        <v>1618773</v>
      </c>
      <c r="X215">
        <v>11</v>
      </c>
      <c r="Y215">
        <v>11</v>
      </c>
      <c r="Z215">
        <v>2003</v>
      </c>
      <c r="AA215" t="s">
        <v>70</v>
      </c>
      <c r="AB215" t="s">
        <v>3354</v>
      </c>
      <c r="AC215" t="s">
        <v>145</v>
      </c>
      <c r="AD215" t="s">
        <v>119</v>
      </c>
      <c r="AE215">
        <v>1382</v>
      </c>
      <c r="AF215" t="s">
        <v>120</v>
      </c>
      <c r="AI215">
        <v>13820000</v>
      </c>
      <c r="AJ215" t="s">
        <v>119</v>
      </c>
      <c r="AM215">
        <v>213112</v>
      </c>
      <c r="AN215" t="s">
        <v>74</v>
      </c>
      <c r="AQ215" t="s">
        <v>75</v>
      </c>
      <c r="AT215" t="s">
        <v>76</v>
      </c>
      <c r="BF215">
        <v>0</v>
      </c>
      <c r="BG215">
        <v>0</v>
      </c>
      <c r="CK215" s="19">
        <f>IF(BQ215&gt;0,BQ215,W215)</f>
        <v>1618773</v>
      </c>
      <c r="CL215" s="20">
        <f>IF(BS215&gt;0,BS215,Y215)</f>
        <v>11</v>
      </c>
      <c r="CM215" s="34">
        <f>IF(CG215&gt;0,CG215,AM215)</f>
        <v>213112</v>
      </c>
      <c r="CN215" s="80">
        <f>IF($BH215="",1,COUNTIF($BH$3:$BH215,$BH215))</f>
        <v>1</v>
      </c>
      <c r="CP215" t="str">
        <f>IF($K215="Standard Match","Match",IF($K215="Name Only Match",IF($CO215="Yes","Match","Name Only Match"),"No Match"))</f>
        <v>Match</v>
      </c>
      <c r="CQ215" s="35" t="str">
        <f>IF(AND(CP215="Match",CK215&gt;0,CL215&gt;0),"Y","N")</f>
        <v>Y</v>
      </c>
      <c r="CS215" t="str">
        <f>IF($CQ215="Y",VLOOKUP($CM215,'SBA Size Standards'!$B$3:$G$57,MATCH('SBA Size Standards'!$G$3,'SBA Size Standards'!$B$3:$G$3,0),FALSE),"")</f>
        <v>Revenue</v>
      </c>
      <c r="CT215" s="60">
        <f>IF(CQ215="Y",IF($CS215="Employment","N/A",VLOOKUP($CM215,'SBA Size Standards'!$B$3:$G$57,MATCH('SBA Size Standards'!$E$3,'SBA Size Standards'!$B$3:$G$3,0),FALSE)),"")</f>
        <v>41500000</v>
      </c>
      <c r="CU215" s="86" t="str">
        <f>IF($CQ215="Y",IF($CS215="Revenue","N/A",VLOOKUP($CM215,'SBA Size Standards'!$B$3:$G$57,MATCH('SBA Size Standards'!$F$3,'SBA Size Standards'!$B$3:$G$3,0),FALSE)),"")</f>
        <v>N/A</v>
      </c>
      <c r="CV215" t="str">
        <f>IF($CQ215="Y",IF(OR(AND($CS215="Employment",$CL215&lt;$CU215),AND($CS215="Revenue",$CK215&lt;$CT215)),"YES","NO"),"")</f>
        <v>YES</v>
      </c>
      <c r="CW215" s="90" t="str">
        <f>IF($CQ215="Y",INDEX('SBA Size Standards'!$N$3:$N$12,MATCH($CK215,'SBA Size Standards'!$O$3:$O$12,1)),"")</f>
        <v>$1,000,001 - $5,000,000</v>
      </c>
      <c r="CX215" s="122" t="s">
        <v>4773</v>
      </c>
      <c r="CY215" s="122">
        <f>INDEX('NM O&amp;G Production'!$P$3:$P$537,MATCH(CX215,'NM O&amp;G Production'!$Q$3:$Q$537,0))</f>
        <v>496</v>
      </c>
      <c r="CZ215" s="122" t="str">
        <f>INDEX('NM O&amp;G Production'!$O$3:$O$537,MATCH(CY215,'NM O&amp;G Production'!$P$3:$P$537,0))</f>
        <v>Yes</v>
      </c>
      <c r="DA215" s="127">
        <f>INDEX('NM O&amp;G Production'!$K$3:$O$537,MATCH($CY215,'NM O&amp;G Production'!$P$3:$P$537,0),MATCH(DA$2,'NM O&amp;G Production'!$K$2:$O$2,0))</f>
        <v>9</v>
      </c>
      <c r="DB215" s="127">
        <f>INDEX('NM O&amp;G Production'!$K$3:$O$537,MATCH($CY215,'NM O&amp;G Production'!$P$3:$P$537,0),MATCH(DB$2,'NM O&amp;G Production'!$K$2:$O$2,0))</f>
        <v>14</v>
      </c>
      <c r="DC215" s="127">
        <f>DA215+DB215</f>
        <v>23</v>
      </c>
      <c r="DD215" s="127">
        <f>INDEX('NM O&amp;G Production'!$K$3:$O$537,MATCH($CY215,'NM O&amp;G Production'!$P$3:$P$537,0),MATCH(DD$2,'NM O&amp;G Production'!$K$2:$O$2,0))</f>
        <v>25513</v>
      </c>
      <c r="DE215" s="127">
        <f>INDEX('NM O&amp;G Production'!$K$3:$O$537,MATCH($CY215,'NM O&amp;G Production'!$P$3:$P$537,0),MATCH(DE$2,'NM O&amp;G Production'!$K$2:$O$2,0))</f>
        <v>86976</v>
      </c>
      <c r="DF215" s="258">
        <f>CK215/(DB215+DA215)</f>
        <v>70381.434782608689</v>
      </c>
      <c r="DG215" s="57">
        <f>DD215*(12/18)*1.06*'Oil and Gas Prices'!$C$18</f>
        <v>43089.756133333329</v>
      </c>
      <c r="DH215" s="284">
        <f>DE215*(12/18)*'Oil and Gas Prices'!$C$4</f>
        <v>2609280</v>
      </c>
      <c r="DI215" s="284">
        <f>DG215+DH215</f>
        <v>2652369.7561333333</v>
      </c>
      <c r="DJ215" s="57">
        <f>(DG215+DH215)/(DA215+DB215)</f>
        <v>115320.42417971014</v>
      </c>
      <c r="DK215" s="319"/>
    </row>
    <row r="216" spans="1:115" x14ac:dyDescent="0.25">
      <c r="A216" t="s">
        <v>2697</v>
      </c>
      <c r="B216" t="s">
        <v>2698</v>
      </c>
      <c r="D216" t="s">
        <v>60</v>
      </c>
      <c r="E216" t="s">
        <v>61</v>
      </c>
      <c r="F216">
        <v>80237</v>
      </c>
      <c r="G216" t="s">
        <v>62</v>
      </c>
      <c r="I216">
        <v>390</v>
      </c>
      <c r="J216" t="s">
        <v>63</v>
      </c>
      <c r="K216" t="s">
        <v>4133</v>
      </c>
      <c r="L216" t="s">
        <v>64</v>
      </c>
      <c r="M216">
        <v>10</v>
      </c>
      <c r="N216" t="s">
        <v>2699</v>
      </c>
      <c r="O216" t="s">
        <v>2700</v>
      </c>
      <c r="Q216" t="s">
        <v>2701</v>
      </c>
      <c r="R216" t="s">
        <v>60</v>
      </c>
      <c r="S216" t="s">
        <v>68</v>
      </c>
      <c r="T216" t="s">
        <v>2702</v>
      </c>
      <c r="U216" t="s">
        <v>62</v>
      </c>
      <c r="V216">
        <v>3038308000</v>
      </c>
      <c r="W216" s="1">
        <v>1580019</v>
      </c>
      <c r="X216">
        <v>20</v>
      </c>
      <c r="Y216">
        <v>20</v>
      </c>
      <c r="Z216">
        <v>2010</v>
      </c>
      <c r="AA216" t="s">
        <v>70</v>
      </c>
      <c r="AB216" t="s">
        <v>2703</v>
      </c>
      <c r="AC216" t="s">
        <v>231</v>
      </c>
      <c r="AD216" t="s">
        <v>119</v>
      </c>
      <c r="AE216">
        <v>1382</v>
      </c>
      <c r="AF216" t="s">
        <v>120</v>
      </c>
      <c r="AI216">
        <v>13820000</v>
      </c>
      <c r="AJ216" t="s">
        <v>119</v>
      </c>
      <c r="AM216">
        <v>213112</v>
      </c>
      <c r="AN216" t="s">
        <v>74</v>
      </c>
      <c r="AQ216" t="s">
        <v>75</v>
      </c>
      <c r="AT216" t="s">
        <v>76</v>
      </c>
      <c r="BF216">
        <v>0</v>
      </c>
      <c r="BG216">
        <v>0</v>
      </c>
      <c r="CK216" s="19">
        <f>IF(BQ216&gt;0,BQ216,W216)</f>
        <v>1580019</v>
      </c>
      <c r="CL216" s="20">
        <f>IF(BS216&gt;0,BS216,Y216)</f>
        <v>20</v>
      </c>
      <c r="CM216" s="34">
        <f>IF(CG216&gt;0,CG216,AM216)</f>
        <v>213112</v>
      </c>
      <c r="CN216" s="80">
        <f>IF($BH216="",1,COUNTIF($BH$3:$BH216,$BH216))</f>
        <v>1</v>
      </c>
      <c r="CP216" t="str">
        <f>IF($K216="Standard Match","Match",IF($K216="Name Only Match",IF($CO216="Yes","Match","Name Only Match"),"No Match"))</f>
        <v>Match</v>
      </c>
      <c r="CQ216" s="35" t="str">
        <f>IF(AND(CP216="Match",CK216&gt;0,CL216&gt;0),"Y","N")</f>
        <v>Y</v>
      </c>
      <c r="CS216" t="str">
        <f>IF($CQ216="Y",VLOOKUP($CM216,'SBA Size Standards'!$B$3:$G$57,MATCH('SBA Size Standards'!$G$3,'SBA Size Standards'!$B$3:$G$3,0),FALSE),"")</f>
        <v>Revenue</v>
      </c>
      <c r="CT216" s="60">
        <f>IF(CQ216="Y",IF($CS216="Employment","N/A",VLOOKUP($CM216,'SBA Size Standards'!$B$3:$G$57,MATCH('SBA Size Standards'!$E$3,'SBA Size Standards'!$B$3:$G$3,0),FALSE)),"")</f>
        <v>41500000</v>
      </c>
      <c r="CU216" s="86" t="str">
        <f>IF($CQ216="Y",IF($CS216="Revenue","N/A",VLOOKUP($CM216,'SBA Size Standards'!$B$3:$G$57,MATCH('SBA Size Standards'!$F$3,'SBA Size Standards'!$B$3:$G$3,0),FALSE)),"")</f>
        <v>N/A</v>
      </c>
      <c r="CV216" t="str">
        <f>IF($CQ216="Y",IF(OR(AND($CS216="Employment",$CL216&lt;$CU216),AND($CS216="Revenue",$CK216&lt;$CT216)),"YES","NO"),"")</f>
        <v>YES</v>
      </c>
      <c r="CW216" s="90" t="str">
        <f>IF($CQ216="Y",INDEX('SBA Size Standards'!$N$3:$N$12,MATCH($CK216,'SBA Size Standards'!$O$3:$O$12,1)),"")</f>
        <v>$1,000,001 - $5,000,000</v>
      </c>
      <c r="CX216" s="122" t="s">
        <v>4718</v>
      </c>
      <c r="CY216" s="122">
        <f>INDEX('NM O&amp;G Production'!$P$3:$P$537,MATCH(CX216,'NM O&amp;G Production'!$Q$3:$Q$537,0))</f>
        <v>390</v>
      </c>
      <c r="CZ216" s="122" t="str">
        <f>INDEX('NM O&amp;G Production'!$O$3:$O$537,MATCH(CY216,'NM O&amp;G Production'!$P$3:$P$537,0))</f>
        <v>Yes</v>
      </c>
      <c r="DA216" s="127">
        <f>INDEX('NM O&amp;G Production'!$K$3:$O$537,MATCH($CY216,'NM O&amp;G Production'!$P$3:$P$537,0),MATCH(DA$2,'NM O&amp;G Production'!$K$2:$O$2,0))</f>
        <v>6</v>
      </c>
      <c r="DB216" s="127">
        <f>INDEX('NM O&amp;G Production'!$K$3:$O$537,MATCH($CY216,'NM O&amp;G Production'!$P$3:$P$537,0),MATCH(DB$2,'NM O&amp;G Production'!$K$2:$O$2,0))</f>
        <v>30</v>
      </c>
      <c r="DC216" s="127">
        <f>DA216+DB216</f>
        <v>36</v>
      </c>
      <c r="DD216" s="127">
        <f>INDEX('NM O&amp;G Production'!$K$3:$O$537,MATCH($CY216,'NM O&amp;G Production'!$P$3:$P$537,0),MATCH(DD$2,'NM O&amp;G Production'!$K$2:$O$2,0))</f>
        <v>416337</v>
      </c>
      <c r="DE216" s="127">
        <f>INDEX('NM O&amp;G Production'!$K$3:$O$537,MATCH($CY216,'NM O&amp;G Production'!$P$3:$P$537,0),MATCH(DE$2,'NM O&amp;G Production'!$K$2:$O$2,0))</f>
        <v>0</v>
      </c>
      <c r="DF216" s="258">
        <f>CK216/(DB216+DA216)</f>
        <v>43889.416666666664</v>
      </c>
      <c r="DG216" s="57">
        <f>DD216*(12/18)*1.06*'Oil and Gas Prices'!$C$18</f>
        <v>703165.43720000016</v>
      </c>
      <c r="DH216" s="284">
        <f>DE216*(12/18)*'Oil and Gas Prices'!$C$4</f>
        <v>0</v>
      </c>
      <c r="DI216" s="284">
        <f>DG216+DH216</f>
        <v>703165.43720000016</v>
      </c>
      <c r="DJ216" s="57">
        <f>(DG216+DH216)/(DA216+DB216)</f>
        <v>19532.373255555562</v>
      </c>
      <c r="DK216" s="318"/>
    </row>
    <row r="217" spans="1:115" x14ac:dyDescent="0.25">
      <c r="A217" t="s">
        <v>301</v>
      </c>
      <c r="B217" t="s">
        <v>302</v>
      </c>
      <c r="D217" t="s">
        <v>303</v>
      </c>
      <c r="E217" t="s">
        <v>80</v>
      </c>
      <c r="F217">
        <v>79701</v>
      </c>
      <c r="G217" t="s">
        <v>62</v>
      </c>
      <c r="I217">
        <v>30</v>
      </c>
      <c r="J217" t="s">
        <v>63</v>
      </c>
      <c r="K217" t="s">
        <v>4133</v>
      </c>
      <c r="L217" t="s">
        <v>64</v>
      </c>
      <c r="M217">
        <v>10</v>
      </c>
      <c r="N217" t="s">
        <v>304</v>
      </c>
      <c r="O217" t="s">
        <v>305</v>
      </c>
      <c r="Q217" t="s">
        <v>306</v>
      </c>
      <c r="R217" t="s">
        <v>153</v>
      </c>
      <c r="S217" t="s">
        <v>94</v>
      </c>
      <c r="T217" t="s">
        <v>307</v>
      </c>
      <c r="U217" t="s">
        <v>62</v>
      </c>
      <c r="V217">
        <v>4326836226</v>
      </c>
      <c r="W217" s="1">
        <v>1579782</v>
      </c>
      <c r="X217">
        <v>6</v>
      </c>
      <c r="Y217">
        <v>6</v>
      </c>
      <c r="Z217">
        <v>1955</v>
      </c>
      <c r="AA217" t="s">
        <v>70</v>
      </c>
      <c r="AB217" t="s">
        <v>308</v>
      </c>
      <c r="AC217" t="s">
        <v>98</v>
      </c>
      <c r="AD217" t="s">
        <v>99</v>
      </c>
      <c r="AE217">
        <v>1311</v>
      </c>
      <c r="AF217" t="s">
        <v>100</v>
      </c>
      <c r="AG217">
        <v>1382</v>
      </c>
      <c r="AH217" t="s">
        <v>120</v>
      </c>
      <c r="AI217">
        <v>13110101</v>
      </c>
      <c r="AJ217" t="s">
        <v>102</v>
      </c>
      <c r="AK217">
        <v>13820000</v>
      </c>
      <c r="AL217" t="s">
        <v>119</v>
      </c>
      <c r="AM217">
        <v>211120</v>
      </c>
      <c r="AN217" t="s">
        <v>104</v>
      </c>
      <c r="AO217">
        <v>213112</v>
      </c>
      <c r="AP217" t="s">
        <v>74</v>
      </c>
      <c r="AQ217" t="s">
        <v>75</v>
      </c>
      <c r="AT217" t="s">
        <v>76</v>
      </c>
      <c r="BF217">
        <v>0</v>
      </c>
      <c r="BG217">
        <v>0</v>
      </c>
      <c r="CK217" s="19">
        <f>IF(BQ217&gt;0,BQ217,W217)</f>
        <v>1579782</v>
      </c>
      <c r="CL217" s="20">
        <f>IF(BS217&gt;0,BS217,Y217)</f>
        <v>6</v>
      </c>
      <c r="CM217" s="34">
        <f>IF(CG217&gt;0,CG217,AM217)</f>
        <v>211120</v>
      </c>
      <c r="CN217" s="80">
        <f>IF($BH217="",1,COUNTIF($BH$3:$BH217,$BH217))</f>
        <v>1</v>
      </c>
      <c r="CP217" t="str">
        <f>IF($K217="Standard Match","Match",IF($K217="Name Only Match",IF($CO217="Yes","Match","Name Only Match"),"No Match"))</f>
        <v>Match</v>
      </c>
      <c r="CQ217" s="35" t="str">
        <f>IF(AND(CP217="Match",CK217&gt;0,CL217&gt;0),"Y","N")</f>
        <v>Y</v>
      </c>
      <c r="CS217" t="str">
        <f>IF($CQ217="Y",VLOOKUP($CM217,'SBA Size Standards'!$B$3:$G$57,MATCH('SBA Size Standards'!$G$3,'SBA Size Standards'!$B$3:$G$3,0),FALSE),"")</f>
        <v>Employment</v>
      </c>
      <c r="CT217" s="60" t="str">
        <f>IF(CQ217="Y",IF($CS217="Employment","N/A",VLOOKUP($CM217,'SBA Size Standards'!$B$3:$G$57,MATCH('SBA Size Standards'!$E$3,'SBA Size Standards'!$B$3:$G$3,0),FALSE)),"")</f>
        <v>N/A</v>
      </c>
      <c r="CU217" s="86">
        <f>IF($CQ217="Y",IF($CS217="Revenue","N/A",VLOOKUP($CM217,'SBA Size Standards'!$B$3:$G$57,MATCH('SBA Size Standards'!$F$3,'SBA Size Standards'!$B$3:$G$3,0),FALSE)),"")</f>
        <v>1250</v>
      </c>
      <c r="CV217" t="str">
        <f>IF($CQ217="Y",IF(OR(AND($CS217="Employment",$CL217&lt;$CU217),AND($CS217="Revenue",$CK217&lt;$CT217)),"YES","NO"),"")</f>
        <v>YES</v>
      </c>
      <c r="CW217" s="90" t="str">
        <f>IF($CQ217="Y",INDEX('SBA Size Standards'!$N$3:$N$12,MATCH($CK217,'SBA Size Standards'!$O$3:$O$12,1)),"")</f>
        <v>$1,000,001 - $5,000,000</v>
      </c>
      <c r="CX217" s="122" t="s">
        <v>4546</v>
      </c>
      <c r="CY217" s="122">
        <f>INDEX('NM O&amp;G Production'!$P$3:$P$537,MATCH(CX217,'NM O&amp;G Production'!$Q$3:$Q$537,0))</f>
        <v>30</v>
      </c>
      <c r="CZ217" s="122" t="str">
        <f>INDEX('NM O&amp;G Production'!$O$3:$O$537,MATCH(CY217,'NM O&amp;G Production'!$P$3:$P$537,0))</f>
        <v>Yes</v>
      </c>
      <c r="DA217" s="127">
        <f>INDEX('NM O&amp;G Production'!$K$3:$O$537,MATCH($CY217,'NM O&amp;G Production'!$P$3:$P$537,0),MATCH(DA$2,'NM O&amp;G Production'!$K$2:$O$2,0))</f>
        <v>0</v>
      </c>
      <c r="DB217" s="127">
        <f>INDEX('NM O&amp;G Production'!$K$3:$O$537,MATCH($CY217,'NM O&amp;G Production'!$P$3:$P$537,0),MATCH(DB$2,'NM O&amp;G Production'!$K$2:$O$2,0))</f>
        <v>15</v>
      </c>
      <c r="DC217" s="127">
        <f>DA217+DB217</f>
        <v>15</v>
      </c>
      <c r="DD217" s="127">
        <f>INDEX('NM O&amp;G Production'!$K$3:$O$537,MATCH($CY217,'NM O&amp;G Production'!$P$3:$P$537,0),MATCH(DD$2,'NM O&amp;G Production'!$K$2:$O$2,0))</f>
        <v>44825</v>
      </c>
      <c r="DE217" s="127">
        <f>INDEX('NM O&amp;G Production'!$K$3:$O$537,MATCH($CY217,'NM O&amp;G Production'!$P$3:$P$537,0),MATCH(DE$2,'NM O&amp;G Production'!$K$2:$O$2,0))</f>
        <v>20603</v>
      </c>
      <c r="DF217" s="258">
        <f>CK217/(DB217+DA217)</f>
        <v>105318.8</v>
      </c>
      <c r="DG217" s="57">
        <f>DD217*(12/18)*1.06*'Oil and Gas Prices'!$C$18</f>
        <v>75706.436666666661</v>
      </c>
      <c r="DH217" s="284">
        <f>DE217*(12/18)*'Oil and Gas Prices'!$C$4</f>
        <v>618090</v>
      </c>
      <c r="DI217" s="284">
        <f>DG217+DH217</f>
        <v>693796.43666666665</v>
      </c>
      <c r="DJ217" s="57">
        <f>(DG217+DH217)/(DA217+DB217)</f>
        <v>46253.095777777773</v>
      </c>
      <c r="DK217" s="319"/>
    </row>
    <row r="218" spans="1:115" x14ac:dyDescent="0.25">
      <c r="A218" t="s">
        <v>1475</v>
      </c>
      <c r="B218" t="s">
        <v>1476</v>
      </c>
      <c r="C218" t="s">
        <v>1477</v>
      </c>
      <c r="D218" t="s">
        <v>209</v>
      </c>
      <c r="E218" t="s">
        <v>84</v>
      </c>
      <c r="F218">
        <v>88202</v>
      </c>
      <c r="G218" t="s">
        <v>62</v>
      </c>
      <c r="I218">
        <v>199</v>
      </c>
      <c r="J218" t="s">
        <v>63</v>
      </c>
      <c r="K218" t="s">
        <v>4133</v>
      </c>
      <c r="L218" t="s">
        <v>64</v>
      </c>
      <c r="M218">
        <v>10</v>
      </c>
      <c r="N218" t="s">
        <v>1478</v>
      </c>
      <c r="O218" t="s">
        <v>1479</v>
      </c>
      <c r="P218" t="s">
        <v>1480</v>
      </c>
      <c r="Q218" t="s">
        <v>1481</v>
      </c>
      <c r="R218" t="s">
        <v>209</v>
      </c>
      <c r="S218" t="s">
        <v>214</v>
      </c>
      <c r="T218" t="s">
        <v>1482</v>
      </c>
      <c r="U218" t="s">
        <v>62</v>
      </c>
      <c r="V218">
        <v>5756231581</v>
      </c>
      <c r="W218" s="1">
        <v>1530796</v>
      </c>
      <c r="X218">
        <v>6</v>
      </c>
      <c r="Y218">
        <v>6</v>
      </c>
      <c r="Z218">
        <v>1961</v>
      </c>
      <c r="AA218" t="s">
        <v>70</v>
      </c>
      <c r="AB218" t="s">
        <v>1483</v>
      </c>
      <c r="AC218" t="s">
        <v>98</v>
      </c>
      <c r="AD218" t="s">
        <v>99</v>
      </c>
      <c r="AE218">
        <v>1311</v>
      </c>
      <c r="AF218" t="s">
        <v>100</v>
      </c>
      <c r="AI218">
        <v>13110101</v>
      </c>
      <c r="AJ218" t="s">
        <v>102</v>
      </c>
      <c r="AM218">
        <v>211120</v>
      </c>
      <c r="AN218" t="s">
        <v>104</v>
      </c>
      <c r="AQ218" t="s">
        <v>75</v>
      </c>
      <c r="AT218" t="s">
        <v>76</v>
      </c>
      <c r="BF218">
        <v>0</v>
      </c>
      <c r="BG218">
        <v>0</v>
      </c>
      <c r="CK218" s="19">
        <f>IF(BQ218&gt;0,BQ218,W218)</f>
        <v>1530796</v>
      </c>
      <c r="CL218" s="20">
        <f>IF(BS218&gt;0,BS218,Y218)</f>
        <v>6</v>
      </c>
      <c r="CM218" s="34">
        <f>IF(CG218&gt;0,CG218,AM218)</f>
        <v>211120</v>
      </c>
      <c r="CN218" s="80">
        <f>IF($BH218="",1,COUNTIF($BH$3:$BH218,$BH218))</f>
        <v>1</v>
      </c>
      <c r="CP218" t="str">
        <f>IF($K218="Standard Match","Match",IF($K218="Name Only Match",IF($CO218="Yes","Match","Name Only Match"),"No Match"))</f>
        <v>Match</v>
      </c>
      <c r="CQ218" s="35" t="str">
        <f>IF(AND(CP218="Match",CK218&gt;0,CL218&gt;0),"Y","N")</f>
        <v>Y</v>
      </c>
      <c r="CS218" t="str">
        <f>IF($CQ218="Y",VLOOKUP($CM218,'SBA Size Standards'!$B$3:$G$57,MATCH('SBA Size Standards'!$G$3,'SBA Size Standards'!$B$3:$G$3,0),FALSE),"")</f>
        <v>Employment</v>
      </c>
      <c r="CT218" s="60" t="str">
        <f>IF(CQ218="Y",IF($CS218="Employment","N/A",VLOOKUP($CM218,'SBA Size Standards'!$B$3:$G$57,MATCH('SBA Size Standards'!$E$3,'SBA Size Standards'!$B$3:$G$3,0),FALSE)),"")</f>
        <v>N/A</v>
      </c>
      <c r="CU218" s="86">
        <f>IF($CQ218="Y",IF($CS218="Revenue","N/A",VLOOKUP($CM218,'SBA Size Standards'!$B$3:$G$57,MATCH('SBA Size Standards'!$F$3,'SBA Size Standards'!$B$3:$G$3,0),FALSE)),"")</f>
        <v>1250</v>
      </c>
      <c r="CV218" t="str">
        <f>IF($CQ218="Y",IF(OR(AND($CS218="Employment",$CL218&lt;$CU218),AND($CS218="Revenue",$CK218&lt;$CT218)),"YES","NO"),"")</f>
        <v>YES</v>
      </c>
      <c r="CW218" s="90" t="str">
        <f>IF($CQ218="Y",INDEX('SBA Size Standards'!$N$3:$N$12,MATCH($CK218,'SBA Size Standards'!$O$3:$O$12,1)),"")</f>
        <v>$1,000,001 - $5,000,000</v>
      </c>
      <c r="CX218" s="122" t="s">
        <v>4626</v>
      </c>
      <c r="CY218" s="122">
        <f>INDEX('NM O&amp;G Production'!$P$3:$P$537,MATCH(CX218,'NM O&amp;G Production'!$Q$3:$Q$537,0))</f>
        <v>199</v>
      </c>
      <c r="CZ218" s="122" t="str">
        <f>INDEX('NM O&amp;G Production'!$O$3:$O$537,MATCH(CY218,'NM O&amp;G Production'!$P$3:$P$537,0))</f>
        <v>Yes</v>
      </c>
      <c r="DA218" s="127">
        <f>INDEX('NM O&amp;G Production'!$K$3:$O$537,MATCH($CY218,'NM O&amp;G Production'!$P$3:$P$537,0),MATCH(DA$2,'NM O&amp;G Production'!$K$2:$O$2,0))</f>
        <v>8</v>
      </c>
      <c r="DB218" s="127">
        <f>INDEX('NM O&amp;G Production'!$K$3:$O$537,MATCH($CY218,'NM O&amp;G Production'!$P$3:$P$537,0),MATCH(DB$2,'NM O&amp;G Production'!$K$2:$O$2,0))</f>
        <v>34</v>
      </c>
      <c r="DC218" s="127">
        <f>DA218+DB218</f>
        <v>42</v>
      </c>
      <c r="DD218" s="127">
        <f>INDEX('NM O&amp;G Production'!$K$3:$O$537,MATCH($CY218,'NM O&amp;G Production'!$P$3:$P$537,0),MATCH(DD$2,'NM O&amp;G Production'!$K$2:$O$2,0))</f>
        <v>148279</v>
      </c>
      <c r="DE218" s="127">
        <f>INDEX('NM O&amp;G Production'!$K$3:$O$537,MATCH($CY218,'NM O&amp;G Production'!$P$3:$P$537,0),MATCH(DE$2,'NM O&amp;G Production'!$K$2:$O$2,0))</f>
        <v>47949</v>
      </c>
      <c r="DF218" s="258">
        <f>CK218/(DB218+DA218)</f>
        <v>36447.523809523809</v>
      </c>
      <c r="DG218" s="57">
        <f>DD218*(12/18)*1.06*'Oil and Gas Prices'!$C$18</f>
        <v>250433.34573333332</v>
      </c>
      <c r="DH218" s="284">
        <f>DE218*(12/18)*'Oil and Gas Prices'!$C$4</f>
        <v>1438470</v>
      </c>
      <c r="DI218" s="284">
        <f>DG218+DH218</f>
        <v>1688903.3457333334</v>
      </c>
      <c r="DJ218" s="57">
        <f>(DG218+DH218)/(DA218+DB218)</f>
        <v>40211.984422222224</v>
      </c>
      <c r="DK218" s="318"/>
    </row>
    <row r="219" spans="1:115" x14ac:dyDescent="0.25">
      <c r="A219" t="s">
        <v>3113</v>
      </c>
      <c r="B219" t="s">
        <v>3114</v>
      </c>
      <c r="D219" t="s">
        <v>3115</v>
      </c>
      <c r="E219" t="s">
        <v>80</v>
      </c>
      <c r="F219">
        <v>75034</v>
      </c>
      <c r="G219" t="s">
        <v>62</v>
      </c>
      <c r="I219">
        <v>457</v>
      </c>
      <c r="J219" t="s">
        <v>63</v>
      </c>
      <c r="K219" t="s">
        <v>4133</v>
      </c>
      <c r="L219" t="s">
        <v>64</v>
      </c>
      <c r="M219">
        <v>10</v>
      </c>
      <c r="N219" t="s">
        <v>3116</v>
      </c>
      <c r="O219" t="s">
        <v>3117</v>
      </c>
      <c r="Q219" t="s">
        <v>3118</v>
      </c>
      <c r="R219" t="s">
        <v>3115</v>
      </c>
      <c r="S219" t="s">
        <v>94</v>
      </c>
      <c r="T219" t="s">
        <v>3119</v>
      </c>
      <c r="U219" t="s">
        <v>62</v>
      </c>
      <c r="V219">
        <v>2142970500</v>
      </c>
      <c r="W219" s="1">
        <v>1500000</v>
      </c>
      <c r="X219">
        <v>12</v>
      </c>
      <c r="Y219">
        <v>12</v>
      </c>
      <c r="Z219">
        <v>2012</v>
      </c>
      <c r="AA219" t="s">
        <v>70</v>
      </c>
      <c r="AB219" t="s">
        <v>3120</v>
      </c>
      <c r="AC219" t="s">
        <v>145</v>
      </c>
      <c r="AD219" t="s">
        <v>517</v>
      </c>
      <c r="AE219">
        <v>1381</v>
      </c>
      <c r="AF219" t="s">
        <v>518</v>
      </c>
      <c r="AI219">
        <v>13810000</v>
      </c>
      <c r="AJ219" t="s">
        <v>519</v>
      </c>
      <c r="AM219">
        <v>213111</v>
      </c>
      <c r="AN219" t="s">
        <v>518</v>
      </c>
      <c r="AQ219" t="s">
        <v>75</v>
      </c>
      <c r="AT219" t="s">
        <v>76</v>
      </c>
      <c r="BF219">
        <v>0</v>
      </c>
      <c r="BG219">
        <v>0</v>
      </c>
      <c r="CK219" s="19">
        <f>IF(BQ219&gt;0,BQ219,W219)</f>
        <v>1500000</v>
      </c>
      <c r="CL219" s="20">
        <f>IF(BS219&gt;0,BS219,Y219)</f>
        <v>12</v>
      </c>
      <c r="CM219" s="34">
        <f>IF(CG219&gt;0,CG219,AM219)</f>
        <v>213111</v>
      </c>
      <c r="CN219" s="80">
        <f>IF($BH219="",1,COUNTIF($BH$3:$BH219,$BH219))</f>
        <v>1</v>
      </c>
      <c r="CP219" t="str">
        <f>IF($K219="Standard Match","Match",IF($K219="Name Only Match",IF($CO219="Yes","Match","Name Only Match"),"No Match"))</f>
        <v>Match</v>
      </c>
      <c r="CQ219" s="35" t="str">
        <f>IF(AND(CP219="Match",CK219&gt;0,CL219&gt;0),"Y","N")</f>
        <v>Y</v>
      </c>
      <c r="CS219" t="str">
        <f>IF($CQ219="Y",VLOOKUP($CM219,'SBA Size Standards'!$B$3:$G$57,MATCH('SBA Size Standards'!$G$3,'SBA Size Standards'!$B$3:$G$3,0),FALSE),"")</f>
        <v>Employment</v>
      </c>
      <c r="CT219" s="60" t="str">
        <f>IF(CQ219="Y",IF($CS219="Employment","N/A",VLOOKUP($CM219,'SBA Size Standards'!$B$3:$G$57,MATCH('SBA Size Standards'!$E$3,'SBA Size Standards'!$B$3:$G$3,0),FALSE)),"")</f>
        <v>N/A</v>
      </c>
      <c r="CU219" s="86">
        <f>IF($CQ219="Y",IF($CS219="Revenue","N/A",VLOOKUP($CM219,'SBA Size Standards'!$B$3:$G$57,MATCH('SBA Size Standards'!$F$3,'SBA Size Standards'!$B$3:$G$3,0),FALSE)),"")</f>
        <v>1000</v>
      </c>
      <c r="CV219" t="str">
        <f>IF($CQ219="Y",IF(OR(AND($CS219="Employment",$CL219&lt;$CU219),AND($CS219="Revenue",$CK219&lt;$CT219)),"YES","NO"),"")</f>
        <v>YES</v>
      </c>
      <c r="CW219" s="90" t="str">
        <f>IF($CQ219="Y",INDEX('SBA Size Standards'!$N$3:$N$12,MATCH($CK219,'SBA Size Standards'!$O$3:$O$12,1)),"")</f>
        <v>$1,000,001 - $5,000,000</v>
      </c>
      <c r="CX219" s="122" t="s">
        <v>4757</v>
      </c>
      <c r="CY219" s="122">
        <f>INDEX('NM O&amp;G Production'!$P$3:$P$537,MATCH(CX219,'NM O&amp;G Production'!$Q$3:$Q$537,0))</f>
        <v>457</v>
      </c>
      <c r="CZ219" s="122" t="str">
        <f>INDEX('NM O&amp;G Production'!$O$3:$O$537,MATCH(CY219,'NM O&amp;G Production'!$P$3:$P$537,0))</f>
        <v>Yes</v>
      </c>
      <c r="DA219" s="127">
        <f>INDEX('NM O&amp;G Production'!$K$3:$O$537,MATCH($CY219,'NM O&amp;G Production'!$P$3:$P$537,0),MATCH(DA$2,'NM O&amp;G Production'!$K$2:$O$2,0))</f>
        <v>12</v>
      </c>
      <c r="DB219" s="127">
        <f>INDEX('NM O&amp;G Production'!$K$3:$O$537,MATCH($CY219,'NM O&amp;G Production'!$P$3:$P$537,0),MATCH(DB$2,'NM O&amp;G Production'!$K$2:$O$2,0))</f>
        <v>2</v>
      </c>
      <c r="DC219" s="127">
        <f>DA219+DB219</f>
        <v>14</v>
      </c>
      <c r="DD219" s="127">
        <f>INDEX('NM O&amp;G Production'!$K$3:$O$537,MATCH($CY219,'NM O&amp;G Production'!$P$3:$P$537,0),MATCH(DD$2,'NM O&amp;G Production'!$K$2:$O$2,0))</f>
        <v>924303</v>
      </c>
      <c r="DE219" s="127">
        <f>INDEX('NM O&amp;G Production'!$K$3:$O$537,MATCH($CY219,'NM O&amp;G Production'!$P$3:$P$537,0),MATCH(DE$2,'NM O&amp;G Production'!$K$2:$O$2,0))</f>
        <v>678354</v>
      </c>
      <c r="DF219" s="258">
        <f>CK219/(DB219+DA219)</f>
        <v>107142.85714285714</v>
      </c>
      <c r="DG219" s="57">
        <f>DD219*(12/18)*1.06*'Oil and Gas Prices'!$C$18</f>
        <v>1561086.1468</v>
      </c>
      <c r="DH219" s="284">
        <f>DE219*(12/18)*'Oil and Gas Prices'!$C$4</f>
        <v>20350620</v>
      </c>
      <c r="DI219" s="284">
        <f>DG219+DH219</f>
        <v>21911706.1468</v>
      </c>
      <c r="DJ219" s="57">
        <f>(DG219+DH219)/(DA219+DB219)</f>
        <v>1565121.8676285713</v>
      </c>
      <c r="DK219" s="319"/>
    </row>
    <row r="220" spans="1:115" x14ac:dyDescent="0.25">
      <c r="A220" t="s">
        <v>953</v>
      </c>
      <c r="B220" t="s">
        <v>954</v>
      </c>
      <c r="D220" t="s">
        <v>593</v>
      </c>
      <c r="E220" t="s">
        <v>84</v>
      </c>
      <c r="F220">
        <v>87410</v>
      </c>
      <c r="G220" t="s">
        <v>62</v>
      </c>
      <c r="I220">
        <v>123</v>
      </c>
      <c r="J220" t="s">
        <v>63</v>
      </c>
      <c r="K220" t="s">
        <v>4133</v>
      </c>
      <c r="L220" t="s">
        <v>113</v>
      </c>
      <c r="M220">
        <v>8</v>
      </c>
      <c r="N220" t="s">
        <v>955</v>
      </c>
      <c r="O220" t="s">
        <v>956</v>
      </c>
      <c r="Q220" t="s">
        <v>954</v>
      </c>
      <c r="R220" t="s">
        <v>593</v>
      </c>
      <c r="S220" t="s">
        <v>214</v>
      </c>
      <c r="T220" t="s">
        <v>957</v>
      </c>
      <c r="U220" t="s">
        <v>62</v>
      </c>
      <c r="V220">
        <v>5056323476</v>
      </c>
      <c r="W220" s="1">
        <v>1401592</v>
      </c>
      <c r="X220">
        <v>10</v>
      </c>
      <c r="Y220">
        <v>10</v>
      </c>
      <c r="Z220">
        <v>2018</v>
      </c>
      <c r="AA220" t="s">
        <v>70</v>
      </c>
      <c r="AB220" t="s">
        <v>958</v>
      </c>
      <c r="AC220" t="s">
        <v>145</v>
      </c>
      <c r="AD220" t="s">
        <v>119</v>
      </c>
      <c r="AE220">
        <v>1382</v>
      </c>
      <c r="AF220" t="s">
        <v>120</v>
      </c>
      <c r="AI220">
        <v>13820000</v>
      </c>
      <c r="AJ220" t="s">
        <v>119</v>
      </c>
      <c r="AM220">
        <v>213112</v>
      </c>
      <c r="AN220" t="s">
        <v>74</v>
      </c>
      <c r="AQ220" t="s">
        <v>75</v>
      </c>
      <c r="AT220" t="s">
        <v>76</v>
      </c>
      <c r="BF220">
        <v>0</v>
      </c>
      <c r="BG220">
        <v>0</v>
      </c>
      <c r="CK220" s="19">
        <f>IF(BQ220&gt;0,BQ220,W220)</f>
        <v>1401592</v>
      </c>
      <c r="CL220" s="20">
        <f>IF(BS220&gt;0,BS220,Y220)</f>
        <v>10</v>
      </c>
      <c r="CM220" s="34">
        <f>IF(CG220&gt;0,CG220,AM220)</f>
        <v>213112</v>
      </c>
      <c r="CN220" s="80">
        <f>IF($BH220="",1,COUNTIF($BH$3:$BH220,$BH220))</f>
        <v>1</v>
      </c>
      <c r="CP220" t="str">
        <f>IF($K220="Standard Match","Match",IF($K220="Name Only Match",IF($CO220="Yes","Match","Name Only Match"),"No Match"))</f>
        <v>Match</v>
      </c>
      <c r="CQ220" s="35" t="str">
        <f>IF(AND(CP220="Match",CK220&gt;0,CL220&gt;0),"Y","N")</f>
        <v>Y</v>
      </c>
      <c r="CS220" t="str">
        <f>IF($CQ220="Y",VLOOKUP($CM220,'SBA Size Standards'!$B$3:$G$57,MATCH('SBA Size Standards'!$G$3,'SBA Size Standards'!$B$3:$G$3,0),FALSE),"")</f>
        <v>Revenue</v>
      </c>
      <c r="CT220" s="60">
        <f>IF(CQ220="Y",IF($CS220="Employment","N/A",VLOOKUP($CM220,'SBA Size Standards'!$B$3:$G$57,MATCH('SBA Size Standards'!$E$3,'SBA Size Standards'!$B$3:$G$3,0),FALSE)),"")</f>
        <v>41500000</v>
      </c>
      <c r="CU220" s="86" t="str">
        <f>IF($CQ220="Y",IF($CS220="Revenue","N/A",VLOOKUP($CM220,'SBA Size Standards'!$B$3:$G$57,MATCH('SBA Size Standards'!$F$3,'SBA Size Standards'!$B$3:$G$3,0),FALSE)),"")</f>
        <v>N/A</v>
      </c>
      <c r="CV220" t="str">
        <f>IF($CQ220="Y",IF(OR(AND($CS220="Employment",$CL220&lt;$CU220),AND($CS220="Revenue",$CK220&lt;$CT220)),"YES","NO"),"")</f>
        <v>YES</v>
      </c>
      <c r="CW220" s="90" t="str">
        <f>IF($CQ220="Y",INDEX('SBA Size Standards'!$N$3:$N$12,MATCH($CK220,'SBA Size Standards'!$O$3:$O$12,1)),"")</f>
        <v>$1,000,001 - $5,000,000</v>
      </c>
      <c r="CX220" s="122" t="s">
        <v>5062</v>
      </c>
      <c r="CY220" s="122">
        <f>INDEX('NM O&amp;G Production'!$P$3:$P$537,MATCH(CX220,'NM O&amp;G Production'!$Q$3:$Q$537,0))</f>
        <v>123</v>
      </c>
      <c r="CZ220" s="122" t="str">
        <f>INDEX('NM O&amp;G Production'!$O$3:$O$537,MATCH(CY220,'NM O&amp;G Production'!$P$3:$P$537,0))</f>
        <v>Yes</v>
      </c>
      <c r="DA220" s="127">
        <f>INDEX('NM O&amp;G Production'!$K$3:$O$537,MATCH($CY220,'NM O&amp;G Production'!$P$3:$P$537,0),MATCH(DA$2,'NM O&amp;G Production'!$K$2:$O$2,0))</f>
        <v>137</v>
      </c>
      <c r="DB220" s="127">
        <f>INDEX('NM O&amp;G Production'!$K$3:$O$537,MATCH($CY220,'NM O&amp;G Production'!$P$3:$P$537,0),MATCH(DB$2,'NM O&amp;G Production'!$K$2:$O$2,0))</f>
        <v>440</v>
      </c>
      <c r="DC220" s="127">
        <f>DA220+DB220</f>
        <v>577</v>
      </c>
      <c r="DD220" s="127">
        <f>INDEX('NM O&amp;G Production'!$K$3:$O$537,MATCH($CY220,'NM O&amp;G Production'!$P$3:$P$537,0),MATCH(DD$2,'NM O&amp;G Production'!$K$2:$O$2,0))</f>
        <v>13657335</v>
      </c>
      <c r="DE220" s="127">
        <f>INDEX('NM O&amp;G Production'!$K$3:$O$537,MATCH($CY220,'NM O&amp;G Production'!$P$3:$P$537,0),MATCH(DE$2,'NM O&amp;G Production'!$K$2:$O$2,0))</f>
        <v>3221259</v>
      </c>
      <c r="DF220" s="258">
        <f>CK220/(DB220+DA220)</f>
        <v>2429.1022530329287</v>
      </c>
      <c r="DG220" s="57">
        <f>DD220*(12/18)*1.06*'Oil and Gas Prices'!$C$18</f>
        <v>23066328.326000001</v>
      </c>
      <c r="DH220" s="284">
        <f>DE220*(12/18)*'Oil and Gas Prices'!$C$4</f>
        <v>96637770</v>
      </c>
      <c r="DI220" s="284">
        <f>DG220+DH220</f>
        <v>119704098.32600001</v>
      </c>
      <c r="DJ220" s="57">
        <f>(DG220+DH220)/(DA220+DB220)</f>
        <v>207459.44250606585</v>
      </c>
      <c r="DK220" s="318"/>
    </row>
    <row r="221" spans="1:115" x14ac:dyDescent="0.25">
      <c r="A221" s="21" t="s">
        <v>2621</v>
      </c>
      <c r="B221" s="21" t="s">
        <v>2622</v>
      </c>
      <c r="C221" s="21"/>
      <c r="D221" s="21" t="s">
        <v>2623</v>
      </c>
      <c r="E221" s="21" t="s">
        <v>80</v>
      </c>
      <c r="F221">
        <v>78130</v>
      </c>
      <c r="G221" t="s">
        <v>62</v>
      </c>
      <c r="I221">
        <v>378</v>
      </c>
      <c r="J221" t="s">
        <v>63</v>
      </c>
      <c r="K221" t="s">
        <v>4134</v>
      </c>
      <c r="L221" t="s">
        <v>3627</v>
      </c>
      <c r="M221">
        <v>8</v>
      </c>
      <c r="N221" t="s">
        <v>3941</v>
      </c>
      <c r="O221" s="21" t="s">
        <v>3942</v>
      </c>
      <c r="P221" s="21"/>
      <c r="Q221" s="21" t="s">
        <v>3943</v>
      </c>
      <c r="R221" s="21" t="s">
        <v>3944</v>
      </c>
      <c r="S221" s="21" t="s">
        <v>977</v>
      </c>
      <c r="T221" t="s">
        <v>3945</v>
      </c>
      <c r="U221" t="s">
        <v>62</v>
      </c>
      <c r="V221">
        <v>2392540004</v>
      </c>
      <c r="W221" s="23">
        <v>1363429</v>
      </c>
      <c r="X221" s="21">
        <v>3</v>
      </c>
      <c r="Y221" s="21">
        <v>3</v>
      </c>
      <c r="Z221">
        <v>2009</v>
      </c>
      <c r="AA221" s="21" t="s">
        <v>70</v>
      </c>
      <c r="AB221" t="s">
        <v>3946</v>
      </c>
      <c r="AC221" t="s">
        <v>677</v>
      </c>
      <c r="AD221" s="21" t="s">
        <v>825</v>
      </c>
      <c r="AE221">
        <v>5172</v>
      </c>
      <c r="AF221" t="s">
        <v>826</v>
      </c>
      <c r="AI221">
        <v>51720000</v>
      </c>
      <c r="AJ221" t="s">
        <v>825</v>
      </c>
      <c r="AM221" s="21">
        <v>424720</v>
      </c>
      <c r="AN221" s="21" t="s">
        <v>827</v>
      </c>
      <c r="AO221" s="21"/>
      <c r="AP221" s="21"/>
      <c r="AQ221" s="21" t="s">
        <v>75</v>
      </c>
      <c r="AT221" t="s">
        <v>76</v>
      </c>
      <c r="BF221">
        <v>0</v>
      </c>
      <c r="BG221" s="24">
        <v>0</v>
      </c>
      <c r="BH221" s="24"/>
      <c r="BI221" s="24"/>
      <c r="BJ221" s="24"/>
      <c r="BK221" s="24"/>
      <c r="BL221" s="24"/>
      <c r="BM221" s="24"/>
      <c r="BN221" s="24"/>
      <c r="BO221" s="24"/>
      <c r="BQ221" s="24"/>
      <c r="BR221" s="24"/>
      <c r="BS221" s="24"/>
      <c r="BU221" s="24"/>
      <c r="BX221" s="24"/>
      <c r="CG221" s="24"/>
      <c r="CH221" s="24"/>
      <c r="CI221" s="24"/>
      <c r="CJ221" s="24"/>
      <c r="CK221" s="19">
        <f>IF(BQ221&gt;0,BQ221,W221)</f>
        <v>1363429</v>
      </c>
      <c r="CL221" s="20">
        <f>IF(BS221&gt;0,BS221,Y221)</f>
        <v>3</v>
      </c>
      <c r="CM221" s="34">
        <f>IF(CG221&gt;0,CG221,AM221)</f>
        <v>424720</v>
      </c>
      <c r="CN221" s="80">
        <f>IF($BH221="",1,COUNTIF($BH$3:$BH221,$BH221))</f>
        <v>1</v>
      </c>
      <c r="CO221" s="33" t="s">
        <v>4386</v>
      </c>
      <c r="CP221" t="str">
        <f>IF($K221="Standard Match","Match",IF($K221="Name Only Match",IF($CO221="Yes","Match","Name Only Match"),"No Match"))</f>
        <v>Match</v>
      </c>
      <c r="CQ221" s="35" t="str">
        <f>IF(AND(CP221="Match",CK221&gt;0,CL221&gt;0),"Y","N")</f>
        <v>Y</v>
      </c>
      <c r="CR221" s="21"/>
      <c r="CS221" t="str">
        <f>IF($CQ221="Y",VLOOKUP($CM221,'SBA Size Standards'!$B$3:$G$57,MATCH('SBA Size Standards'!$G$3,'SBA Size Standards'!$B$3:$G$3,0),FALSE),"")</f>
        <v>Employment</v>
      </c>
      <c r="CT221" s="60" t="str">
        <f>IF(CQ221="Y",IF($CS221="Employment","N/A",VLOOKUP($CM221,'SBA Size Standards'!$B$3:$G$57,MATCH('SBA Size Standards'!$E$3,'SBA Size Standards'!$B$3:$G$3,0),FALSE)),"")</f>
        <v>N/A</v>
      </c>
      <c r="CU221" s="86">
        <f>IF($CQ221="Y",IF($CS221="Revenue","N/A",VLOOKUP($CM221,'SBA Size Standards'!$B$3:$G$57,MATCH('SBA Size Standards'!$F$3,'SBA Size Standards'!$B$3:$G$3,0),FALSE)),"")</f>
        <v>200</v>
      </c>
      <c r="CV221" t="str">
        <f>IF($CQ221="Y",IF(OR(AND($CS221="Employment",$CL221&lt;$CU221),AND($CS221="Revenue",$CK221&lt;$CT221)),"YES","NO"),"")</f>
        <v>YES</v>
      </c>
      <c r="CW221" s="90" t="str">
        <f>IF($CQ221="Y",INDEX('SBA Size Standards'!$N$3:$N$12,MATCH($CK221,'SBA Size Standards'!$O$3:$O$12,1)),"")</f>
        <v>$1,000,001 - $5,000,000</v>
      </c>
      <c r="CX221" s="122" t="s">
        <v>4988</v>
      </c>
      <c r="CY221" s="122">
        <f>INDEX('NM O&amp;G Production'!$P$3:$P$537,MATCH(CX221,'NM O&amp;G Production'!$Q$3:$Q$537,0))</f>
        <v>378</v>
      </c>
      <c r="CZ221" s="122" t="str">
        <f>INDEX('NM O&amp;G Production'!$O$3:$O$537,MATCH(CY221,'NM O&amp;G Production'!$P$3:$P$537,0))</f>
        <v>Yes</v>
      </c>
      <c r="DA221" s="127">
        <f>INDEX('NM O&amp;G Production'!$K$3:$O$537,MATCH($CY221,'NM O&amp;G Production'!$P$3:$P$537,0),MATCH(DA$2,'NM O&amp;G Production'!$K$2:$O$2,0))</f>
        <v>0</v>
      </c>
      <c r="DB221" s="127">
        <f>INDEX('NM O&amp;G Production'!$K$3:$O$537,MATCH($CY221,'NM O&amp;G Production'!$P$3:$P$537,0),MATCH(DB$2,'NM O&amp;G Production'!$K$2:$O$2,0))</f>
        <v>2</v>
      </c>
      <c r="DC221" s="127">
        <f>DA221+DB221</f>
        <v>2</v>
      </c>
      <c r="DD221" s="127">
        <f>INDEX('NM O&amp;G Production'!$K$3:$O$537,MATCH($CY221,'NM O&amp;G Production'!$P$3:$P$537,0),MATCH(DD$2,'NM O&amp;G Production'!$K$2:$O$2,0))</f>
        <v>0</v>
      </c>
      <c r="DE221" s="127">
        <f>INDEX('NM O&amp;G Production'!$K$3:$O$537,MATCH($CY221,'NM O&amp;G Production'!$P$3:$P$537,0),MATCH(DE$2,'NM O&amp;G Production'!$K$2:$O$2,0))</f>
        <v>3627</v>
      </c>
      <c r="DF221" s="258">
        <f>CK221/(DB221+DA221)</f>
        <v>681714.5</v>
      </c>
      <c r="DG221" s="57">
        <f>DD221*(12/18)*1.06*'Oil and Gas Prices'!$C$18</f>
        <v>0</v>
      </c>
      <c r="DH221" s="284">
        <f>DE221*(12/18)*'Oil and Gas Prices'!$C$4</f>
        <v>108810</v>
      </c>
      <c r="DI221" s="284">
        <f>DG221+DH221</f>
        <v>108810</v>
      </c>
      <c r="DJ221" s="57">
        <f>(DG221+DH221)/(DA221+DB221)</f>
        <v>54405</v>
      </c>
      <c r="DK221" s="319"/>
    </row>
    <row r="222" spans="1:115" x14ac:dyDescent="0.25">
      <c r="A222" s="21" t="s">
        <v>2511</v>
      </c>
      <c r="B222" s="21" t="s">
        <v>2512</v>
      </c>
      <c r="C222" s="21"/>
      <c r="D222" s="21" t="s">
        <v>153</v>
      </c>
      <c r="E222" s="21" t="s">
        <v>80</v>
      </c>
      <c r="F222">
        <v>79707</v>
      </c>
      <c r="G222" t="s">
        <v>62</v>
      </c>
      <c r="I222">
        <v>360</v>
      </c>
      <c r="J222" t="s">
        <v>63</v>
      </c>
      <c r="K222" t="s">
        <v>4134</v>
      </c>
      <c r="L222" t="s">
        <v>3627</v>
      </c>
      <c r="M222">
        <v>8</v>
      </c>
      <c r="N222" t="s">
        <v>3695</v>
      </c>
      <c r="O222" s="21" t="s">
        <v>3696</v>
      </c>
      <c r="P222" s="21"/>
      <c r="Q222" s="21" t="s">
        <v>3697</v>
      </c>
      <c r="R222" s="21" t="s">
        <v>153</v>
      </c>
      <c r="S222" s="21" t="s">
        <v>94</v>
      </c>
      <c r="T222" t="s">
        <v>3698</v>
      </c>
      <c r="U222" t="s">
        <v>62</v>
      </c>
      <c r="V222">
        <v>4326824101</v>
      </c>
      <c r="W222" s="23">
        <v>1318756</v>
      </c>
      <c r="X222" s="21">
        <v>7</v>
      </c>
      <c r="Y222" s="21">
        <v>7</v>
      </c>
      <c r="Z222">
        <v>1982</v>
      </c>
      <c r="AA222" s="21" t="s">
        <v>70</v>
      </c>
      <c r="AB222" t="s">
        <v>3699</v>
      </c>
      <c r="AC222" t="s">
        <v>98</v>
      </c>
      <c r="AD222" s="21" t="s">
        <v>99</v>
      </c>
      <c r="AE222">
        <v>1311</v>
      </c>
      <c r="AF222" t="s">
        <v>100</v>
      </c>
      <c r="AI222">
        <v>13110101</v>
      </c>
      <c r="AJ222" t="s">
        <v>102</v>
      </c>
      <c r="AM222" s="21">
        <v>211120</v>
      </c>
      <c r="AN222" s="21" t="s">
        <v>104</v>
      </c>
      <c r="AO222" s="21"/>
      <c r="AP222" s="21"/>
      <c r="AQ222" s="21" t="s">
        <v>75</v>
      </c>
      <c r="AT222" t="s">
        <v>76</v>
      </c>
      <c r="BF222">
        <v>0</v>
      </c>
      <c r="BG222" s="24">
        <v>0</v>
      </c>
      <c r="BH222" s="24"/>
      <c r="BI222" s="24"/>
      <c r="BJ222" s="24"/>
      <c r="BK222" s="24"/>
      <c r="BL222" s="24"/>
      <c r="BM222" s="24"/>
      <c r="BN222" s="24"/>
      <c r="BO222" s="24"/>
      <c r="BQ222" s="24"/>
      <c r="BR222" s="24"/>
      <c r="BS222" s="24"/>
      <c r="BU222" s="24"/>
      <c r="BX222" s="24"/>
      <c r="CG222" s="24"/>
      <c r="CH222" s="24"/>
      <c r="CI222" s="24"/>
      <c r="CJ222" s="24"/>
      <c r="CK222" s="19">
        <f>IF(BQ222&gt;0,BQ222,W222)</f>
        <v>1318756</v>
      </c>
      <c r="CL222" s="20">
        <f>IF(BS222&gt;0,BS222,Y222)</f>
        <v>7</v>
      </c>
      <c r="CM222" s="34">
        <f>IF(CG222&gt;0,CG222,AM222)</f>
        <v>211120</v>
      </c>
      <c r="CN222" s="80">
        <f>IF($BH222="",1,COUNTIF($BH$3:$BH222,$BH222))</f>
        <v>1</v>
      </c>
      <c r="CO222" s="33" t="s">
        <v>4386</v>
      </c>
      <c r="CP222" t="str">
        <f>IF($K222="Standard Match","Match",IF($K222="Name Only Match",IF($CO222="Yes","Match","Name Only Match"),"No Match"))</f>
        <v>Match</v>
      </c>
      <c r="CQ222" s="35" t="str">
        <f>IF(AND(CP222="Match",CK222&gt;0,CL222&gt;0),"Y","N")</f>
        <v>Y</v>
      </c>
      <c r="CR222" s="21"/>
      <c r="CS222" t="str">
        <f>IF($CQ222="Y",VLOOKUP($CM222,'SBA Size Standards'!$B$3:$G$57,MATCH('SBA Size Standards'!$G$3,'SBA Size Standards'!$B$3:$G$3,0),FALSE),"")</f>
        <v>Employment</v>
      </c>
      <c r="CT222" s="60" t="str">
        <f>IF(CQ222="Y",IF($CS222="Employment","N/A",VLOOKUP($CM222,'SBA Size Standards'!$B$3:$G$57,MATCH('SBA Size Standards'!$E$3,'SBA Size Standards'!$B$3:$G$3,0),FALSE)),"")</f>
        <v>N/A</v>
      </c>
      <c r="CU222" s="86">
        <f>IF($CQ222="Y",IF($CS222="Revenue","N/A",VLOOKUP($CM222,'SBA Size Standards'!$B$3:$G$57,MATCH('SBA Size Standards'!$F$3,'SBA Size Standards'!$B$3:$G$3,0),FALSE)),"")</f>
        <v>1250</v>
      </c>
      <c r="CV222" t="str">
        <f>IF($CQ222="Y",IF(OR(AND($CS222="Employment",$CL222&lt;$CU222),AND($CS222="Revenue",$CK222&lt;$CT222)),"YES","NO"),"")</f>
        <v>YES</v>
      </c>
      <c r="CW222" s="90" t="str">
        <f>IF($CQ222="Y",INDEX('SBA Size Standards'!$N$3:$N$12,MATCH($CK222,'SBA Size Standards'!$O$3:$O$12,1)),"")</f>
        <v>$1,000,001 - $5,000,000</v>
      </c>
      <c r="CX222" s="122" t="s">
        <v>4985</v>
      </c>
      <c r="CY222" s="122">
        <f>INDEX('NM O&amp;G Production'!$P$3:$P$537,MATCH(CX222,'NM O&amp;G Production'!$Q$3:$Q$537,0))</f>
        <v>360</v>
      </c>
      <c r="CZ222" s="122" t="str">
        <f>INDEX('NM O&amp;G Production'!$O$3:$O$537,MATCH(CY222,'NM O&amp;G Production'!$P$3:$P$537,0))</f>
        <v>Yes</v>
      </c>
      <c r="DA222" s="127">
        <f>INDEX('NM O&amp;G Production'!$K$3:$O$537,MATCH($CY222,'NM O&amp;G Production'!$P$3:$P$537,0),MATCH(DA$2,'NM O&amp;G Production'!$K$2:$O$2,0))</f>
        <v>1</v>
      </c>
      <c r="DB222" s="127">
        <f>INDEX('NM O&amp;G Production'!$K$3:$O$537,MATCH($CY222,'NM O&amp;G Production'!$P$3:$P$537,0),MATCH(DB$2,'NM O&amp;G Production'!$K$2:$O$2,0))</f>
        <v>0</v>
      </c>
      <c r="DC222" s="127">
        <f>DA222+DB222</f>
        <v>1</v>
      </c>
      <c r="DD222" s="127">
        <f>INDEX('NM O&amp;G Production'!$K$3:$O$537,MATCH($CY222,'NM O&amp;G Production'!$P$3:$P$537,0),MATCH(DD$2,'NM O&amp;G Production'!$K$2:$O$2,0))</f>
        <v>17472</v>
      </c>
      <c r="DE222" s="127">
        <f>INDEX('NM O&amp;G Production'!$K$3:$O$537,MATCH($CY222,'NM O&amp;G Production'!$P$3:$P$537,0),MATCH(DE$2,'NM O&amp;G Production'!$K$2:$O$2,0))</f>
        <v>19695</v>
      </c>
      <c r="DF222" s="258">
        <f>CK222/(DB222+DA222)</f>
        <v>1318756</v>
      </c>
      <c r="DG222" s="57">
        <f>DD222*(12/18)*1.06*'Oil and Gas Prices'!$C$18</f>
        <v>29509.043200000004</v>
      </c>
      <c r="DH222" s="284">
        <f>DE222*(12/18)*'Oil and Gas Prices'!$C$4</f>
        <v>590850</v>
      </c>
      <c r="DI222" s="284">
        <f>DG222+DH222</f>
        <v>620359.04319999996</v>
      </c>
      <c r="DJ222" s="57">
        <f>(DG222+DH222)/(DA222+DB222)</f>
        <v>620359.04319999996</v>
      </c>
      <c r="DK222" s="318"/>
    </row>
    <row r="223" spans="1:115" x14ac:dyDescent="0.25">
      <c r="A223" t="s">
        <v>2058</v>
      </c>
      <c r="B223" t="s">
        <v>2059</v>
      </c>
      <c r="D223" t="s">
        <v>112</v>
      </c>
      <c r="E223" t="s">
        <v>80</v>
      </c>
      <c r="F223">
        <v>77055</v>
      </c>
      <c r="G223" t="s">
        <v>62</v>
      </c>
      <c r="I223">
        <v>289</v>
      </c>
      <c r="J223" t="s">
        <v>63</v>
      </c>
      <c r="K223" t="s">
        <v>4133</v>
      </c>
      <c r="L223" t="s">
        <v>64</v>
      </c>
      <c r="M223">
        <v>10</v>
      </c>
      <c r="N223" t="s">
        <v>2060</v>
      </c>
      <c r="O223" t="s">
        <v>2061</v>
      </c>
      <c r="Q223" t="s">
        <v>2062</v>
      </c>
      <c r="R223" t="s">
        <v>112</v>
      </c>
      <c r="S223" t="s">
        <v>94</v>
      </c>
      <c r="T223" t="s">
        <v>2063</v>
      </c>
      <c r="U223" t="s">
        <v>62</v>
      </c>
      <c r="V223">
        <v>7132229291</v>
      </c>
      <c r="W223" s="1">
        <v>1303441</v>
      </c>
      <c r="X223">
        <v>7</v>
      </c>
      <c r="Y223">
        <v>7</v>
      </c>
      <c r="Z223">
        <v>1978</v>
      </c>
      <c r="AA223" t="s">
        <v>70</v>
      </c>
      <c r="AB223" t="s">
        <v>2064</v>
      </c>
      <c r="AC223" t="s">
        <v>98</v>
      </c>
      <c r="AD223" t="s">
        <v>99</v>
      </c>
      <c r="AE223">
        <v>1311</v>
      </c>
      <c r="AF223" t="s">
        <v>100</v>
      </c>
      <c r="AI223">
        <v>13110100</v>
      </c>
      <c r="AJ223" t="s">
        <v>411</v>
      </c>
      <c r="AM223">
        <v>211120</v>
      </c>
      <c r="AN223" t="s">
        <v>104</v>
      </c>
      <c r="AQ223" t="s">
        <v>75</v>
      </c>
      <c r="AT223" t="s">
        <v>76</v>
      </c>
      <c r="BF223">
        <v>0</v>
      </c>
      <c r="BG223">
        <v>0</v>
      </c>
      <c r="CK223" s="19">
        <f>IF(BQ223&gt;0,BQ223,W223)</f>
        <v>1303441</v>
      </c>
      <c r="CL223" s="20">
        <f>IF(BS223&gt;0,BS223,Y223)</f>
        <v>7</v>
      </c>
      <c r="CM223" s="34">
        <f>IF(CG223&gt;0,CG223,AM223)</f>
        <v>211120</v>
      </c>
      <c r="CN223" s="80">
        <f>IF($BH223="",1,COUNTIF($BH$3:$BH223,$BH223))</f>
        <v>1</v>
      </c>
      <c r="CP223" t="str">
        <f>IF($K223="Standard Match","Match",IF($K223="Name Only Match",IF($CO223="Yes","Match","Name Only Match"),"No Match"))</f>
        <v>Match</v>
      </c>
      <c r="CQ223" s="35" t="str">
        <f>IF(AND(CP223="Match",CK223&gt;0,CL223&gt;0),"Y","N")</f>
        <v>Y</v>
      </c>
      <c r="CS223" t="str">
        <f>IF($CQ223="Y",VLOOKUP($CM223,'SBA Size Standards'!$B$3:$G$57,MATCH('SBA Size Standards'!$G$3,'SBA Size Standards'!$B$3:$G$3,0),FALSE),"")</f>
        <v>Employment</v>
      </c>
      <c r="CT223" s="60" t="str">
        <f>IF(CQ223="Y",IF($CS223="Employment","N/A",VLOOKUP($CM223,'SBA Size Standards'!$B$3:$G$57,MATCH('SBA Size Standards'!$E$3,'SBA Size Standards'!$B$3:$G$3,0),FALSE)),"")</f>
        <v>N/A</v>
      </c>
      <c r="CU223" s="86">
        <f>IF($CQ223="Y",IF($CS223="Revenue","N/A",VLOOKUP($CM223,'SBA Size Standards'!$B$3:$G$57,MATCH('SBA Size Standards'!$F$3,'SBA Size Standards'!$B$3:$G$3,0),FALSE)),"")</f>
        <v>1250</v>
      </c>
      <c r="CV223" t="str">
        <f>IF($CQ223="Y",IF(OR(AND($CS223="Employment",$CL223&lt;$CU223),AND($CS223="Revenue",$CK223&lt;$CT223)),"YES","NO"),"")</f>
        <v>YES</v>
      </c>
      <c r="CW223" s="90" t="str">
        <f>IF($CQ223="Y",INDEX('SBA Size Standards'!$N$3:$N$12,MATCH($CK223,'SBA Size Standards'!$O$3:$O$12,1)),"")</f>
        <v>$1,000,001 - $5,000,000</v>
      </c>
      <c r="CX223" s="122" t="s">
        <v>4670</v>
      </c>
      <c r="CY223" s="122">
        <f>INDEX('NM O&amp;G Production'!$P$3:$P$537,MATCH(CX223,'NM O&amp;G Production'!$Q$3:$Q$537,0))</f>
        <v>289</v>
      </c>
      <c r="CZ223" s="122" t="str">
        <f>INDEX('NM O&amp;G Production'!$O$3:$O$537,MATCH(CY223,'NM O&amp;G Production'!$P$3:$P$537,0))</f>
        <v>Yes</v>
      </c>
      <c r="DA223" s="127">
        <f>INDEX('NM O&amp;G Production'!$K$3:$O$537,MATCH($CY223,'NM O&amp;G Production'!$P$3:$P$537,0),MATCH(DA$2,'NM O&amp;G Production'!$K$2:$O$2,0))</f>
        <v>0</v>
      </c>
      <c r="DB223" s="127">
        <f>INDEX('NM O&amp;G Production'!$K$3:$O$537,MATCH($CY223,'NM O&amp;G Production'!$P$3:$P$537,0),MATCH(DB$2,'NM O&amp;G Production'!$K$2:$O$2,0))</f>
        <v>8</v>
      </c>
      <c r="DC223" s="127">
        <f>DA223+DB223</f>
        <v>8</v>
      </c>
      <c r="DD223" s="127">
        <f>INDEX('NM O&amp;G Production'!$K$3:$O$537,MATCH($CY223,'NM O&amp;G Production'!$P$3:$P$537,0),MATCH(DD$2,'NM O&amp;G Production'!$K$2:$O$2,0))</f>
        <v>21809</v>
      </c>
      <c r="DE223" s="127">
        <f>INDEX('NM O&amp;G Production'!$K$3:$O$537,MATCH($CY223,'NM O&amp;G Production'!$P$3:$P$537,0),MATCH(DE$2,'NM O&amp;G Production'!$K$2:$O$2,0))</f>
        <v>3916</v>
      </c>
      <c r="DF223" s="258">
        <f>CK223/(DB223+DA223)</f>
        <v>162930.125</v>
      </c>
      <c r="DG223" s="57">
        <f>DD223*(12/18)*1.06*'Oil and Gas Prices'!$C$18</f>
        <v>36833.947066666668</v>
      </c>
      <c r="DH223" s="284">
        <f>DE223*(12/18)*'Oil and Gas Prices'!$C$4</f>
        <v>117480</v>
      </c>
      <c r="DI223" s="284">
        <f>DG223+DH223</f>
        <v>154313.94706666667</v>
      </c>
      <c r="DJ223" s="57">
        <f>(DG223+DH223)/(DA223+DB223)</f>
        <v>19289.243383333334</v>
      </c>
      <c r="DK223" s="319"/>
    </row>
    <row r="224" spans="1:115" x14ac:dyDescent="0.25">
      <c r="A224" t="s">
        <v>927</v>
      </c>
      <c r="B224" t="s">
        <v>928</v>
      </c>
      <c r="D224" t="s">
        <v>112</v>
      </c>
      <c r="E224" t="s">
        <v>80</v>
      </c>
      <c r="F224">
        <v>77019</v>
      </c>
      <c r="G224" t="s">
        <v>62</v>
      </c>
      <c r="I224">
        <v>119</v>
      </c>
      <c r="J224" t="s">
        <v>63</v>
      </c>
      <c r="K224" t="s">
        <v>4133</v>
      </c>
      <c r="L224" t="s">
        <v>113</v>
      </c>
      <c r="M224">
        <v>8</v>
      </c>
      <c r="N224" t="s">
        <v>929</v>
      </c>
      <c r="O224" t="s">
        <v>930</v>
      </c>
      <c r="Q224" t="s">
        <v>931</v>
      </c>
      <c r="R224" t="s">
        <v>112</v>
      </c>
      <c r="S224" t="s">
        <v>94</v>
      </c>
      <c r="T224" t="s">
        <v>932</v>
      </c>
      <c r="U224" t="s">
        <v>62</v>
      </c>
      <c r="V224">
        <v>2818881825</v>
      </c>
      <c r="W224" s="1">
        <v>1280485</v>
      </c>
      <c r="X224">
        <v>12</v>
      </c>
      <c r="Y224">
        <v>12</v>
      </c>
      <c r="Z224">
        <v>2011</v>
      </c>
      <c r="AA224" t="s">
        <v>70</v>
      </c>
      <c r="AB224" t="s">
        <v>933</v>
      </c>
      <c r="AC224" t="s">
        <v>98</v>
      </c>
      <c r="AD224" t="s">
        <v>656</v>
      </c>
      <c r="AE224">
        <v>8748</v>
      </c>
      <c r="AF224" t="s">
        <v>657</v>
      </c>
      <c r="AI224">
        <v>87489904</v>
      </c>
      <c r="AJ224" t="s">
        <v>934</v>
      </c>
      <c r="AM224">
        <v>541690</v>
      </c>
      <c r="AN224" t="s">
        <v>935</v>
      </c>
      <c r="AQ224" t="s">
        <v>75</v>
      </c>
      <c r="AT224" t="s">
        <v>76</v>
      </c>
      <c r="BF224">
        <v>0</v>
      </c>
      <c r="BG224">
        <v>0</v>
      </c>
      <c r="CK224" s="19">
        <f>IF(BQ224&gt;0,BQ224,W224)</f>
        <v>1280485</v>
      </c>
      <c r="CL224" s="20">
        <f>IF(BS224&gt;0,BS224,Y224)</f>
        <v>12</v>
      </c>
      <c r="CM224" s="34">
        <f>IF(CG224&gt;0,CG224,AM224)</f>
        <v>541690</v>
      </c>
      <c r="CN224" s="80">
        <f>IF($BH224="",1,COUNTIF($BH$3:$BH224,$BH224))</f>
        <v>1</v>
      </c>
      <c r="CP224" t="str">
        <f>IF($K224="Standard Match","Match",IF($K224="Name Only Match",IF($CO224="Yes","Match","Name Only Match"),"No Match"))</f>
        <v>Match</v>
      </c>
      <c r="CQ224" s="35" t="str">
        <f>IF(AND(CP224="Match",CK224&gt;0,CL224&gt;0),"Y","N")</f>
        <v>Y</v>
      </c>
      <c r="CS224" t="str">
        <f>IF($CQ224="Y",VLOOKUP($CM224,'SBA Size Standards'!$B$3:$G$57,MATCH('SBA Size Standards'!$G$3,'SBA Size Standards'!$B$3:$G$3,0),FALSE),"")</f>
        <v>Revenue</v>
      </c>
      <c r="CT224" s="60">
        <f>IF(CQ224="Y",IF($CS224="Employment","N/A",VLOOKUP($CM224,'SBA Size Standards'!$B$3:$G$57,MATCH('SBA Size Standards'!$E$3,'SBA Size Standards'!$B$3:$G$3,0),FALSE)),"")</f>
        <v>16500000</v>
      </c>
      <c r="CU224" s="86" t="str">
        <f>IF($CQ224="Y",IF($CS224="Revenue","N/A",VLOOKUP($CM224,'SBA Size Standards'!$B$3:$G$57,MATCH('SBA Size Standards'!$F$3,'SBA Size Standards'!$B$3:$G$3,0),FALSE)),"")</f>
        <v>N/A</v>
      </c>
      <c r="CV224" t="str">
        <f>IF($CQ224="Y",IF(OR(AND($CS224="Employment",$CL224&lt;$CU224),AND($CS224="Revenue",$CK224&lt;$CT224)),"YES","NO"),"")</f>
        <v>YES</v>
      </c>
      <c r="CW224" s="90" t="str">
        <f>IF($CQ224="Y",INDEX('SBA Size Standards'!$N$3:$N$12,MATCH($CK224,'SBA Size Standards'!$O$3:$O$12,1)),"")</f>
        <v>$1,000,001 - $5,000,000</v>
      </c>
      <c r="CX224" s="122" t="s">
        <v>4830</v>
      </c>
      <c r="CY224" s="122">
        <f>INDEX('NM O&amp;G Production'!$P$3:$P$537,MATCH(CX224,'NM O&amp;G Production'!$Q$3:$Q$537,0))</f>
        <v>119</v>
      </c>
      <c r="CZ224" s="122" t="str">
        <f>INDEX('NM O&amp;G Production'!$O$3:$O$537,MATCH(CY224,'NM O&amp;G Production'!$P$3:$P$537,0))</f>
        <v>Yes</v>
      </c>
      <c r="DA224" s="127">
        <f>INDEX('NM O&amp;G Production'!$K$3:$O$537,MATCH($CY224,'NM O&amp;G Production'!$P$3:$P$537,0),MATCH(DA$2,'NM O&amp;G Production'!$K$2:$O$2,0))</f>
        <v>2</v>
      </c>
      <c r="DB224" s="127">
        <f>INDEX('NM O&amp;G Production'!$K$3:$O$537,MATCH($CY224,'NM O&amp;G Production'!$P$3:$P$537,0),MATCH(DB$2,'NM O&amp;G Production'!$K$2:$O$2,0))</f>
        <v>0</v>
      </c>
      <c r="DC224" s="127">
        <f>DA224+DB224</f>
        <v>2</v>
      </c>
      <c r="DD224" s="127">
        <f>INDEX('NM O&amp;G Production'!$K$3:$O$537,MATCH($CY224,'NM O&amp;G Production'!$P$3:$P$537,0),MATCH(DD$2,'NM O&amp;G Production'!$K$2:$O$2,0))</f>
        <v>112821</v>
      </c>
      <c r="DE224" s="127">
        <f>INDEX('NM O&amp;G Production'!$K$3:$O$537,MATCH($CY224,'NM O&amp;G Production'!$P$3:$P$537,0),MATCH(DE$2,'NM O&amp;G Production'!$K$2:$O$2,0))</f>
        <v>61257</v>
      </c>
      <c r="DF224" s="258">
        <f>CK224/(DB224+DA224)</f>
        <v>640242.5</v>
      </c>
      <c r="DG224" s="57">
        <f>DD224*(12/18)*1.06*'Oil and Gas Prices'!$C$18</f>
        <v>190547.14760000003</v>
      </c>
      <c r="DH224" s="284">
        <f>DE224*(12/18)*'Oil and Gas Prices'!$C$4</f>
        <v>1837710</v>
      </c>
      <c r="DI224" s="284">
        <f>DG224+DH224</f>
        <v>2028257.1476</v>
      </c>
      <c r="DJ224" s="57">
        <f>(DG224+DH224)/(DA224+DB224)</f>
        <v>1014128.5738</v>
      </c>
      <c r="DK224" s="319"/>
    </row>
    <row r="225" spans="1:115" x14ac:dyDescent="0.25">
      <c r="A225" t="s">
        <v>3153</v>
      </c>
      <c r="B225" t="s">
        <v>3154</v>
      </c>
      <c r="D225" t="s">
        <v>378</v>
      </c>
      <c r="E225" t="s">
        <v>80</v>
      </c>
      <c r="F225" t="s">
        <v>3155</v>
      </c>
      <c r="G225" t="s">
        <v>62</v>
      </c>
      <c r="I225">
        <v>463</v>
      </c>
      <c r="J225" t="s">
        <v>63</v>
      </c>
      <c r="K225" t="s">
        <v>4133</v>
      </c>
      <c r="L225" t="s">
        <v>64</v>
      </c>
      <c r="M225">
        <v>10</v>
      </c>
      <c r="N225" t="s">
        <v>3156</v>
      </c>
      <c r="O225" t="s">
        <v>3153</v>
      </c>
      <c r="P225" t="s">
        <v>3157</v>
      </c>
      <c r="Q225" t="s">
        <v>3154</v>
      </c>
      <c r="R225" t="s">
        <v>378</v>
      </c>
      <c r="S225" t="s">
        <v>94</v>
      </c>
      <c r="T225" t="s">
        <v>3158</v>
      </c>
      <c r="U225" t="s">
        <v>62</v>
      </c>
      <c r="V225">
        <v>2143686100</v>
      </c>
      <c r="W225" s="1">
        <v>1186403</v>
      </c>
      <c r="X225">
        <v>6</v>
      </c>
      <c r="Y225">
        <v>6</v>
      </c>
      <c r="Z225">
        <v>1981</v>
      </c>
      <c r="AA225" t="s">
        <v>70</v>
      </c>
      <c r="AB225" t="s">
        <v>3159</v>
      </c>
      <c r="AC225" t="s">
        <v>98</v>
      </c>
      <c r="AD225" t="s">
        <v>99</v>
      </c>
      <c r="AE225">
        <v>1311</v>
      </c>
      <c r="AF225" t="s">
        <v>100</v>
      </c>
      <c r="AG225">
        <v>3731</v>
      </c>
      <c r="AH225" t="s">
        <v>1978</v>
      </c>
      <c r="AI225">
        <v>13110101</v>
      </c>
      <c r="AJ225" t="s">
        <v>102</v>
      </c>
      <c r="AK225">
        <v>37319902</v>
      </c>
      <c r="AL225" t="s">
        <v>1979</v>
      </c>
      <c r="AM225">
        <v>211120</v>
      </c>
      <c r="AN225" t="s">
        <v>104</v>
      </c>
      <c r="AO225">
        <v>336611</v>
      </c>
      <c r="AP225" t="s">
        <v>1980</v>
      </c>
      <c r="AQ225" t="s">
        <v>75</v>
      </c>
      <c r="AT225" t="s">
        <v>76</v>
      </c>
      <c r="BF225">
        <v>0</v>
      </c>
      <c r="BG225">
        <v>0</v>
      </c>
      <c r="CK225" s="19">
        <f>IF(BQ225&gt;0,BQ225,W225)</f>
        <v>1186403</v>
      </c>
      <c r="CL225" s="20">
        <f>IF(BS225&gt;0,BS225,Y225)</f>
        <v>6</v>
      </c>
      <c r="CM225" s="34">
        <f>IF(CG225&gt;0,CG225,AM225)</f>
        <v>211120</v>
      </c>
      <c r="CN225" s="80">
        <f>IF($BH225="",1,COUNTIF($BH$3:$BH225,$BH225))</f>
        <v>1</v>
      </c>
      <c r="CP225" t="str">
        <f>IF($K225="Standard Match","Match",IF($K225="Name Only Match",IF($CO225="Yes","Match","Name Only Match"),"No Match"))</f>
        <v>Match</v>
      </c>
      <c r="CQ225" s="35" t="str">
        <f>IF(AND(CP225="Match",CK225&gt;0,CL225&gt;0),"Y","N")</f>
        <v>Y</v>
      </c>
      <c r="CS225" t="str">
        <f>IF($CQ225="Y",VLOOKUP($CM225,'SBA Size Standards'!$B$3:$G$57,MATCH('SBA Size Standards'!$G$3,'SBA Size Standards'!$B$3:$G$3,0),FALSE),"")</f>
        <v>Employment</v>
      </c>
      <c r="CT225" s="60" t="str">
        <f>IF(CQ225="Y",IF($CS225="Employment","N/A",VLOOKUP($CM225,'SBA Size Standards'!$B$3:$G$57,MATCH('SBA Size Standards'!$E$3,'SBA Size Standards'!$B$3:$G$3,0),FALSE)),"")</f>
        <v>N/A</v>
      </c>
      <c r="CU225" s="86">
        <f>IF($CQ225="Y",IF($CS225="Revenue","N/A",VLOOKUP($CM225,'SBA Size Standards'!$B$3:$G$57,MATCH('SBA Size Standards'!$F$3,'SBA Size Standards'!$B$3:$G$3,0),FALSE)),"")</f>
        <v>1250</v>
      </c>
      <c r="CV225" t="str">
        <f>IF($CQ225="Y",IF(OR(AND($CS225="Employment",$CL225&lt;$CU225),AND($CS225="Revenue",$CK225&lt;$CT225)),"YES","NO"),"")</f>
        <v>YES</v>
      </c>
      <c r="CW225" s="90" t="str">
        <f>IF($CQ225="Y",INDEX('SBA Size Standards'!$N$3:$N$12,MATCH($CK225,'SBA Size Standards'!$O$3:$O$12,1)),"")</f>
        <v>$1,000,001 - $5,000,000</v>
      </c>
      <c r="CX225" s="122" t="s">
        <v>4759</v>
      </c>
      <c r="CY225" s="122">
        <f>INDEX('NM O&amp;G Production'!$P$3:$P$537,MATCH(CX225,'NM O&amp;G Production'!$Q$3:$Q$537,0))</f>
        <v>463</v>
      </c>
      <c r="CZ225" s="122" t="str">
        <f>INDEX('NM O&amp;G Production'!$O$3:$O$537,MATCH(CY225,'NM O&amp;G Production'!$P$3:$P$537,0))</f>
        <v>Yes</v>
      </c>
      <c r="DA225" s="127">
        <f>INDEX('NM O&amp;G Production'!$K$3:$O$537,MATCH($CY225,'NM O&amp;G Production'!$P$3:$P$537,0),MATCH(DA$2,'NM O&amp;G Production'!$K$2:$O$2,0))</f>
        <v>4</v>
      </c>
      <c r="DB225" s="127">
        <f>INDEX('NM O&amp;G Production'!$K$3:$O$537,MATCH($CY225,'NM O&amp;G Production'!$P$3:$P$537,0),MATCH(DB$2,'NM O&amp;G Production'!$K$2:$O$2,0))</f>
        <v>21</v>
      </c>
      <c r="DC225" s="127">
        <f>DA225+DB225</f>
        <v>25</v>
      </c>
      <c r="DD225" s="127">
        <f>INDEX('NM O&amp;G Production'!$K$3:$O$537,MATCH($CY225,'NM O&amp;G Production'!$P$3:$P$537,0),MATCH(DD$2,'NM O&amp;G Production'!$K$2:$O$2,0))</f>
        <v>51469</v>
      </c>
      <c r="DE225" s="127">
        <f>INDEX('NM O&amp;G Production'!$K$3:$O$537,MATCH($CY225,'NM O&amp;G Production'!$P$3:$P$537,0),MATCH(DE$2,'NM O&amp;G Production'!$K$2:$O$2,0))</f>
        <v>49833</v>
      </c>
      <c r="DF225" s="258">
        <f>CK225/(DB225+DA225)</f>
        <v>47456.12</v>
      </c>
      <c r="DG225" s="57">
        <f>DD225*(12/18)*1.06*'Oil and Gas Prices'!$C$18</f>
        <v>86927.709733333337</v>
      </c>
      <c r="DH225" s="284">
        <f>DE225*(12/18)*'Oil and Gas Prices'!$C$4</f>
        <v>1494990</v>
      </c>
      <c r="DI225" s="284">
        <f>DG225+DH225</f>
        <v>1581917.7097333334</v>
      </c>
      <c r="DJ225" s="57">
        <f>(DG225+DH225)/(DA225+DB225)</f>
        <v>63276.70838933334</v>
      </c>
      <c r="DK225" s="318"/>
    </row>
    <row r="226" spans="1:115" x14ac:dyDescent="0.25">
      <c r="A226" t="s">
        <v>2480</v>
      </c>
      <c r="B226" t="s">
        <v>2481</v>
      </c>
      <c r="D226" t="s">
        <v>112</v>
      </c>
      <c r="E226" t="s">
        <v>80</v>
      </c>
      <c r="F226">
        <v>77024</v>
      </c>
      <c r="G226" t="s">
        <v>62</v>
      </c>
      <c r="I226">
        <v>355</v>
      </c>
      <c r="J226" t="s">
        <v>63</v>
      </c>
      <c r="K226" t="s">
        <v>4133</v>
      </c>
      <c r="L226" t="s">
        <v>64</v>
      </c>
      <c r="M226">
        <v>10</v>
      </c>
      <c r="N226" t="s">
        <v>2482</v>
      </c>
      <c r="O226" t="s">
        <v>2483</v>
      </c>
      <c r="P226" t="s">
        <v>2484</v>
      </c>
      <c r="Q226" t="s">
        <v>2485</v>
      </c>
      <c r="R226" t="s">
        <v>112</v>
      </c>
      <c r="S226" t="s">
        <v>94</v>
      </c>
      <c r="T226" t="s">
        <v>2486</v>
      </c>
      <c r="U226" t="s">
        <v>62</v>
      </c>
      <c r="V226">
        <v>8329410011</v>
      </c>
      <c r="W226" s="1">
        <v>1173060</v>
      </c>
      <c r="X226">
        <v>6</v>
      </c>
      <c r="Y226">
        <v>6</v>
      </c>
      <c r="Z226">
        <v>2002</v>
      </c>
      <c r="AA226" t="s">
        <v>163</v>
      </c>
      <c r="AB226" t="s">
        <v>2487</v>
      </c>
      <c r="AC226" t="s">
        <v>98</v>
      </c>
      <c r="AD226" t="s">
        <v>119</v>
      </c>
      <c r="AE226">
        <v>1382</v>
      </c>
      <c r="AF226" t="s">
        <v>120</v>
      </c>
      <c r="AI226">
        <v>13820000</v>
      </c>
      <c r="AJ226" t="s">
        <v>119</v>
      </c>
      <c r="AM226">
        <v>213112</v>
      </c>
      <c r="AN226" t="s">
        <v>74</v>
      </c>
      <c r="AQ226" t="s">
        <v>75</v>
      </c>
      <c r="AR226" t="s">
        <v>2482</v>
      </c>
      <c r="AS226" t="s">
        <v>2483</v>
      </c>
      <c r="AT226" t="s">
        <v>427</v>
      </c>
      <c r="AU226" t="s">
        <v>80</v>
      </c>
      <c r="AV226" t="s">
        <v>62</v>
      </c>
      <c r="AW226" t="s">
        <v>2482</v>
      </c>
      <c r="AX226" t="s">
        <v>2483</v>
      </c>
      <c r="AY226" t="s">
        <v>80</v>
      </c>
      <c r="AZ226" t="s">
        <v>62</v>
      </c>
      <c r="BE226" t="s">
        <v>62</v>
      </c>
      <c r="BF226">
        <v>1</v>
      </c>
      <c r="BG226">
        <v>3</v>
      </c>
      <c r="BH226" s="4" t="s">
        <v>2482</v>
      </c>
      <c r="BI226" s="4" t="s">
        <v>2483</v>
      </c>
      <c r="BJ226" s="4" t="s">
        <v>2484</v>
      </c>
      <c r="BK226" s="4" t="s">
        <v>2485</v>
      </c>
      <c r="BL226" s="4" t="s">
        <v>112</v>
      </c>
      <c r="BM226" s="4" t="s">
        <v>94</v>
      </c>
      <c r="BN226" s="4" t="s">
        <v>2486</v>
      </c>
      <c r="BO226" s="4" t="s">
        <v>62</v>
      </c>
      <c r="BP226" s="4">
        <v>8329410011</v>
      </c>
      <c r="BQ226" s="5">
        <v>1173060</v>
      </c>
      <c r="BR226" s="4">
        <v>6</v>
      </c>
      <c r="BS226" s="4">
        <v>6</v>
      </c>
      <c r="BT226" s="4">
        <v>2002</v>
      </c>
      <c r="BU226" s="4" t="s">
        <v>163</v>
      </c>
      <c r="BV226" s="4" t="s">
        <v>2487</v>
      </c>
      <c r="BW226" s="4" t="s">
        <v>98</v>
      </c>
      <c r="BX226" s="4" t="s">
        <v>119</v>
      </c>
      <c r="BY226" s="4">
        <v>1382</v>
      </c>
      <c r="BZ226" s="4" t="s">
        <v>120</v>
      </c>
      <c r="CC226" s="4">
        <v>13820000</v>
      </c>
      <c r="CD226" s="4" t="s">
        <v>119</v>
      </c>
      <c r="CG226" s="4">
        <v>213112</v>
      </c>
      <c r="CH226" s="4" t="s">
        <v>74</v>
      </c>
      <c r="CK226" s="19">
        <f>IF(BQ226&gt;0,BQ226,W226)</f>
        <v>1173060</v>
      </c>
      <c r="CL226" s="20">
        <f>IF(BS226&gt;0,BS226,Y226)</f>
        <v>6</v>
      </c>
      <c r="CM226" s="34">
        <f>IF(CG226&gt;0,CG226,AM226)</f>
        <v>213112</v>
      </c>
      <c r="CN226" s="80">
        <f>IF($BH226="",1,COUNTIF($BH$3:$BH226,$BH226))</f>
        <v>1</v>
      </c>
      <c r="CP226" t="str">
        <f>IF($K226="Standard Match","Match",IF($K226="Name Only Match",IF($CO226="Yes","Match","Name Only Match"),"No Match"))</f>
        <v>Match</v>
      </c>
      <c r="CQ226" s="35" t="str">
        <f>IF(AND(CP226="Match",CK226&gt;0,CL226&gt;0),"Y","N")</f>
        <v>Y</v>
      </c>
      <c r="CS226" t="str">
        <f>IF($CQ226="Y",VLOOKUP($CM226,'SBA Size Standards'!$B$3:$G$57,MATCH('SBA Size Standards'!$G$3,'SBA Size Standards'!$B$3:$G$3,0),FALSE),"")</f>
        <v>Revenue</v>
      </c>
      <c r="CT226" s="60">
        <f>IF(CQ226="Y",IF($CS226="Employment","N/A",VLOOKUP($CM226,'SBA Size Standards'!$B$3:$G$57,MATCH('SBA Size Standards'!$E$3,'SBA Size Standards'!$B$3:$G$3,0),FALSE)),"")</f>
        <v>41500000</v>
      </c>
      <c r="CU226" s="86" t="str">
        <f>IF($CQ226="Y",IF($CS226="Revenue","N/A",VLOOKUP($CM226,'SBA Size Standards'!$B$3:$G$57,MATCH('SBA Size Standards'!$F$3,'SBA Size Standards'!$B$3:$G$3,0),FALSE)),"")</f>
        <v>N/A</v>
      </c>
      <c r="CV226" t="str">
        <f>IF($CQ226="Y",IF(OR(AND($CS226="Employment",$CL226&lt;$CU226),AND($CS226="Revenue",$CK226&lt;$CT226)),"YES","NO"),"")</f>
        <v>YES</v>
      </c>
      <c r="CW226" s="90" t="str">
        <f>IF($CQ226="Y",INDEX('SBA Size Standards'!$N$3:$N$12,MATCH($CK226,'SBA Size Standards'!$O$3:$O$12,1)),"")</f>
        <v>$1,000,001 - $5,000,000</v>
      </c>
      <c r="CX226" s="122" t="s">
        <v>4699</v>
      </c>
      <c r="CY226" s="122">
        <f>INDEX('NM O&amp;G Production'!$P$3:$P$537,MATCH(CX226,'NM O&amp;G Production'!$Q$3:$Q$537,0))</f>
        <v>355</v>
      </c>
      <c r="CZ226" s="122" t="str">
        <f>INDEX('NM O&amp;G Production'!$O$3:$O$537,MATCH(CY226,'NM O&amp;G Production'!$P$3:$P$537,0))</f>
        <v>Yes</v>
      </c>
      <c r="DA226" s="127">
        <f>INDEX('NM O&amp;G Production'!$K$3:$O$537,MATCH($CY226,'NM O&amp;G Production'!$P$3:$P$537,0),MATCH(DA$2,'NM O&amp;G Production'!$K$2:$O$2,0))</f>
        <v>0</v>
      </c>
      <c r="DB226" s="127">
        <f>INDEX('NM O&amp;G Production'!$K$3:$O$537,MATCH($CY226,'NM O&amp;G Production'!$P$3:$P$537,0),MATCH(DB$2,'NM O&amp;G Production'!$K$2:$O$2,0))</f>
        <v>14</v>
      </c>
      <c r="DC226" s="127">
        <f>DA226+DB226</f>
        <v>14</v>
      </c>
      <c r="DD226" s="127">
        <f>INDEX('NM O&amp;G Production'!$K$3:$O$537,MATCH($CY226,'NM O&amp;G Production'!$P$3:$P$537,0),MATCH(DD$2,'NM O&amp;G Production'!$K$2:$O$2,0))</f>
        <v>0</v>
      </c>
      <c r="DE226" s="127">
        <f>INDEX('NM O&amp;G Production'!$K$3:$O$537,MATCH($CY226,'NM O&amp;G Production'!$P$3:$P$537,0),MATCH(DE$2,'NM O&amp;G Production'!$K$2:$O$2,0))</f>
        <v>114</v>
      </c>
      <c r="DF226" s="258">
        <f>CK226/(DB226+DA226)</f>
        <v>83790</v>
      </c>
      <c r="DG226" s="57">
        <f>DD226*(12/18)*1.06*'Oil and Gas Prices'!$C$18</f>
        <v>0</v>
      </c>
      <c r="DH226" s="284">
        <f>DE226*(12/18)*'Oil and Gas Prices'!$C$4</f>
        <v>3420</v>
      </c>
      <c r="DI226" s="284">
        <f>DG226+DH226</f>
        <v>3420</v>
      </c>
      <c r="DJ226" s="57">
        <f>(DG226+DH226)/(DA226+DB226)</f>
        <v>244.28571428571428</v>
      </c>
      <c r="DK226" s="319"/>
    </row>
    <row r="227" spans="1:115" x14ac:dyDescent="0.25">
      <c r="A227" t="s">
        <v>3605</v>
      </c>
      <c r="B227" t="s">
        <v>3606</v>
      </c>
      <c r="D227" t="s">
        <v>209</v>
      </c>
      <c r="E227" t="s">
        <v>84</v>
      </c>
      <c r="F227">
        <v>88202</v>
      </c>
      <c r="G227" t="s">
        <v>62</v>
      </c>
      <c r="I227">
        <v>533</v>
      </c>
      <c r="J227" t="s">
        <v>63</v>
      </c>
      <c r="K227" t="s">
        <v>4133</v>
      </c>
      <c r="L227" t="s">
        <v>149</v>
      </c>
      <c r="M227">
        <v>10</v>
      </c>
      <c r="N227" t="s">
        <v>3607</v>
      </c>
      <c r="O227" t="s">
        <v>3608</v>
      </c>
      <c r="P227" t="s">
        <v>3609</v>
      </c>
      <c r="Q227" t="s">
        <v>3610</v>
      </c>
      <c r="R227" t="s">
        <v>209</v>
      </c>
      <c r="S227" t="s">
        <v>214</v>
      </c>
      <c r="T227" t="s">
        <v>3611</v>
      </c>
      <c r="U227" t="s">
        <v>62</v>
      </c>
      <c r="V227">
        <v>5756234935</v>
      </c>
      <c r="W227" s="1">
        <v>1166060</v>
      </c>
      <c r="X227">
        <v>6</v>
      </c>
      <c r="Y227">
        <v>6</v>
      </c>
      <c r="Z227">
        <v>1976</v>
      </c>
      <c r="AA227" t="s">
        <v>70</v>
      </c>
      <c r="AB227" t="s">
        <v>3612</v>
      </c>
      <c r="AC227" t="s">
        <v>133</v>
      </c>
      <c r="AD227" t="s">
        <v>99</v>
      </c>
      <c r="AE227">
        <v>1311</v>
      </c>
      <c r="AF227" t="s">
        <v>100</v>
      </c>
      <c r="AG227">
        <v>1382</v>
      </c>
      <c r="AH227" t="s">
        <v>120</v>
      </c>
      <c r="AI227">
        <v>13110101</v>
      </c>
      <c r="AJ227" t="s">
        <v>102</v>
      </c>
      <c r="AK227">
        <v>13820000</v>
      </c>
      <c r="AL227" t="s">
        <v>119</v>
      </c>
      <c r="AM227">
        <v>211120</v>
      </c>
      <c r="AN227" t="s">
        <v>104</v>
      </c>
      <c r="AO227">
        <v>213112</v>
      </c>
      <c r="AP227" t="s">
        <v>74</v>
      </c>
      <c r="AQ227" t="s">
        <v>75</v>
      </c>
      <c r="AT227" t="s">
        <v>76</v>
      </c>
      <c r="BF227">
        <v>0</v>
      </c>
      <c r="BG227">
        <v>0</v>
      </c>
      <c r="CK227" s="19">
        <f>IF(BQ227&gt;0,BQ227,W227)</f>
        <v>1166060</v>
      </c>
      <c r="CL227" s="20">
        <f>IF(BS227&gt;0,BS227,Y227)</f>
        <v>6</v>
      </c>
      <c r="CM227" s="34">
        <f>IF(CG227&gt;0,CG227,AM227)</f>
        <v>211120</v>
      </c>
      <c r="CN227" s="80">
        <f>IF($BH227="",1,COUNTIF($BH$3:$BH227,$BH227))</f>
        <v>1</v>
      </c>
      <c r="CP227" t="str">
        <f>IF($K227="Standard Match","Match",IF($K227="Name Only Match",IF($CO227="Yes","Match","Name Only Match"),"No Match"))</f>
        <v>Match</v>
      </c>
      <c r="CQ227" s="35" t="str">
        <f>IF(AND(CP227="Match",CK227&gt;0,CL227&gt;0),"Y","N")</f>
        <v>Y</v>
      </c>
      <c r="CS227" t="str">
        <f>IF($CQ227="Y",VLOOKUP($CM227,'SBA Size Standards'!$B$3:$G$57,MATCH('SBA Size Standards'!$G$3,'SBA Size Standards'!$B$3:$G$3,0),FALSE),"")</f>
        <v>Employment</v>
      </c>
      <c r="CT227" s="60" t="str">
        <f>IF(CQ227="Y",IF($CS227="Employment","N/A",VLOOKUP($CM227,'SBA Size Standards'!$B$3:$G$57,MATCH('SBA Size Standards'!$E$3,'SBA Size Standards'!$B$3:$G$3,0),FALSE)),"")</f>
        <v>N/A</v>
      </c>
      <c r="CU227" s="86">
        <f>IF($CQ227="Y",IF($CS227="Revenue","N/A",VLOOKUP($CM227,'SBA Size Standards'!$B$3:$G$57,MATCH('SBA Size Standards'!$F$3,'SBA Size Standards'!$B$3:$G$3,0),FALSE)),"")</f>
        <v>1250</v>
      </c>
      <c r="CV227" t="str">
        <f>IF($CQ227="Y",IF(OR(AND($CS227="Employment",$CL227&lt;$CU227),AND($CS227="Revenue",$CK227&lt;$CT227)),"YES","NO"),"")</f>
        <v>YES</v>
      </c>
      <c r="CW227" s="90" t="str">
        <f>IF($CQ227="Y",INDEX('SBA Size Standards'!$N$3:$N$12,MATCH($CK227,'SBA Size Standards'!$O$3:$O$12,1)),"")</f>
        <v>$1,000,001 - $5,000,000</v>
      </c>
      <c r="CX227" s="122" t="s">
        <v>4789</v>
      </c>
      <c r="CY227" s="122">
        <f>INDEX('NM O&amp;G Production'!$P$3:$P$537,MATCH(CX227,'NM O&amp;G Production'!$Q$3:$Q$537,0))</f>
        <v>533</v>
      </c>
      <c r="CZ227" s="122" t="str">
        <f>INDEX('NM O&amp;G Production'!$O$3:$O$537,MATCH(CY227,'NM O&amp;G Production'!$P$3:$P$537,0))</f>
        <v>Yes</v>
      </c>
      <c r="DA227" s="127">
        <f>INDEX('NM O&amp;G Production'!$K$3:$O$537,MATCH($CY227,'NM O&amp;G Production'!$P$3:$P$537,0),MATCH(DA$2,'NM O&amp;G Production'!$K$2:$O$2,0))</f>
        <v>1</v>
      </c>
      <c r="DB227" s="127">
        <f>INDEX('NM O&amp;G Production'!$K$3:$O$537,MATCH($CY227,'NM O&amp;G Production'!$P$3:$P$537,0),MATCH(DB$2,'NM O&amp;G Production'!$K$2:$O$2,0))</f>
        <v>4</v>
      </c>
      <c r="DC227" s="127">
        <f>DA227+DB227</f>
        <v>5</v>
      </c>
      <c r="DD227" s="127">
        <f>INDEX('NM O&amp;G Production'!$K$3:$O$537,MATCH($CY227,'NM O&amp;G Production'!$P$3:$P$537,0),MATCH(DD$2,'NM O&amp;G Production'!$K$2:$O$2,0))</f>
        <v>35977</v>
      </c>
      <c r="DE227" s="127">
        <f>INDEX('NM O&amp;G Production'!$K$3:$O$537,MATCH($CY227,'NM O&amp;G Production'!$P$3:$P$537,0),MATCH(DE$2,'NM O&amp;G Production'!$K$2:$O$2,0))</f>
        <v>9884</v>
      </c>
      <c r="DF227" s="258">
        <f>CK227/(DB227+DA227)</f>
        <v>233212</v>
      </c>
      <c r="DG227" s="57">
        <f>DD227*(12/18)*1.06*'Oil and Gas Prices'!$C$18</f>
        <v>60762.754533333333</v>
      </c>
      <c r="DH227" s="284">
        <f>DE227*(12/18)*'Oil and Gas Prices'!$C$4</f>
        <v>296520</v>
      </c>
      <c r="DI227" s="284">
        <f>DG227+DH227</f>
        <v>357282.75453333335</v>
      </c>
      <c r="DJ227" s="57">
        <f>(DG227+DH227)/(DA227+DB227)</f>
        <v>71456.550906666671</v>
      </c>
      <c r="DK227" s="319"/>
    </row>
    <row r="228" spans="1:115" x14ac:dyDescent="0.25">
      <c r="A228" t="s">
        <v>2149</v>
      </c>
      <c r="B228" t="s">
        <v>2150</v>
      </c>
      <c r="C228" t="s">
        <v>2151</v>
      </c>
      <c r="D228" t="s">
        <v>206</v>
      </c>
      <c r="E228" t="s">
        <v>84</v>
      </c>
      <c r="F228">
        <v>88240</v>
      </c>
      <c r="G228" t="s">
        <v>62</v>
      </c>
      <c r="I228">
        <v>304</v>
      </c>
      <c r="J228" t="s">
        <v>63</v>
      </c>
      <c r="K228" t="s">
        <v>4133</v>
      </c>
      <c r="L228" t="s">
        <v>833</v>
      </c>
      <c r="M228">
        <v>10</v>
      </c>
      <c r="N228" t="s">
        <v>2152</v>
      </c>
      <c r="O228" t="s">
        <v>2153</v>
      </c>
      <c r="Q228" t="s">
        <v>2154</v>
      </c>
      <c r="R228" t="s">
        <v>206</v>
      </c>
      <c r="S228" t="s">
        <v>214</v>
      </c>
      <c r="T228">
        <v>88240</v>
      </c>
      <c r="U228" t="s">
        <v>62</v>
      </c>
      <c r="V228">
        <v>5753977750</v>
      </c>
      <c r="W228" s="1">
        <v>1161828</v>
      </c>
      <c r="X228">
        <v>4</v>
      </c>
      <c r="Y228">
        <v>4</v>
      </c>
      <c r="Z228">
        <v>1933</v>
      </c>
      <c r="AA228" t="s">
        <v>70</v>
      </c>
      <c r="AB228" t="s">
        <v>2155</v>
      </c>
      <c r="AC228" t="s">
        <v>98</v>
      </c>
      <c r="AD228" t="s">
        <v>99</v>
      </c>
      <c r="AE228">
        <v>1311</v>
      </c>
      <c r="AF228" t="s">
        <v>100</v>
      </c>
      <c r="AI228">
        <v>13110101</v>
      </c>
      <c r="AJ228" t="s">
        <v>102</v>
      </c>
      <c r="AM228">
        <v>211120</v>
      </c>
      <c r="AN228" t="s">
        <v>104</v>
      </c>
      <c r="AQ228" t="s">
        <v>75</v>
      </c>
      <c r="AT228" t="s">
        <v>76</v>
      </c>
      <c r="BF228">
        <v>0</v>
      </c>
      <c r="BG228">
        <v>0</v>
      </c>
      <c r="CK228" s="19">
        <f>IF(BQ228&gt;0,BQ228,W228)</f>
        <v>1161828</v>
      </c>
      <c r="CL228" s="20">
        <f>IF(BS228&gt;0,BS228,Y228)</f>
        <v>4</v>
      </c>
      <c r="CM228" s="34">
        <f>IF(CG228&gt;0,CG228,AM228)</f>
        <v>211120</v>
      </c>
      <c r="CN228" s="80">
        <f>IF($BH228="",1,COUNTIF($BH$3:$BH228,$BH228))</f>
        <v>1</v>
      </c>
      <c r="CP228" t="str">
        <f>IF($K228="Standard Match","Match",IF($K228="Name Only Match",IF($CO228="Yes","Match","Name Only Match"),"No Match"))</f>
        <v>Match</v>
      </c>
      <c r="CQ228" s="35" t="str">
        <f>IF(AND(CP228="Match",CK228&gt;0,CL228&gt;0),"Y","N")</f>
        <v>Y</v>
      </c>
      <c r="CS228" t="str">
        <f>IF($CQ228="Y",VLOOKUP($CM228,'SBA Size Standards'!$B$3:$G$57,MATCH('SBA Size Standards'!$G$3,'SBA Size Standards'!$B$3:$G$3,0),FALSE),"")</f>
        <v>Employment</v>
      </c>
      <c r="CT228" s="60" t="str">
        <f>IF(CQ228="Y",IF($CS228="Employment","N/A",VLOOKUP($CM228,'SBA Size Standards'!$B$3:$G$57,MATCH('SBA Size Standards'!$E$3,'SBA Size Standards'!$B$3:$G$3,0),FALSE)),"")</f>
        <v>N/A</v>
      </c>
      <c r="CU228" s="86">
        <f>IF($CQ228="Y",IF($CS228="Revenue","N/A",VLOOKUP($CM228,'SBA Size Standards'!$B$3:$G$57,MATCH('SBA Size Standards'!$F$3,'SBA Size Standards'!$B$3:$G$3,0),FALSE)),"")</f>
        <v>1250</v>
      </c>
      <c r="CV228" t="str">
        <f>IF($CQ228="Y",IF(OR(AND($CS228="Employment",$CL228&lt;$CU228),AND($CS228="Revenue",$CK228&lt;$CT228)),"YES","NO"),"")</f>
        <v>YES</v>
      </c>
      <c r="CW228" s="90" t="str">
        <f>IF($CQ228="Y",INDEX('SBA Size Standards'!$N$3:$N$12,MATCH($CK228,'SBA Size Standards'!$O$3:$O$12,1)),"")</f>
        <v>$1,000,001 - $5,000,000</v>
      </c>
      <c r="CX228" s="122" t="s">
        <v>4679</v>
      </c>
      <c r="CY228" s="122">
        <f>INDEX('NM O&amp;G Production'!$P$3:$P$537,MATCH(CX228,'NM O&amp;G Production'!$Q$3:$Q$537,0))</f>
        <v>304</v>
      </c>
      <c r="CZ228" s="122" t="str">
        <f>INDEX('NM O&amp;G Production'!$O$3:$O$537,MATCH(CY228,'NM O&amp;G Production'!$P$3:$P$537,0))</f>
        <v>Yes</v>
      </c>
      <c r="DA228" s="127">
        <f>INDEX('NM O&amp;G Production'!$K$3:$O$537,MATCH($CY228,'NM O&amp;G Production'!$P$3:$P$537,0),MATCH(DA$2,'NM O&amp;G Production'!$K$2:$O$2,0))</f>
        <v>3</v>
      </c>
      <c r="DB228" s="127">
        <f>INDEX('NM O&amp;G Production'!$K$3:$O$537,MATCH($CY228,'NM O&amp;G Production'!$P$3:$P$537,0),MATCH(DB$2,'NM O&amp;G Production'!$K$2:$O$2,0))</f>
        <v>27</v>
      </c>
      <c r="DC228" s="127">
        <f>DA228+DB228</f>
        <v>30</v>
      </c>
      <c r="DD228" s="127">
        <f>INDEX('NM O&amp;G Production'!$K$3:$O$537,MATCH($CY228,'NM O&amp;G Production'!$P$3:$P$537,0),MATCH(DD$2,'NM O&amp;G Production'!$K$2:$O$2,0))</f>
        <v>466764</v>
      </c>
      <c r="DE228" s="127">
        <f>INDEX('NM O&amp;G Production'!$K$3:$O$537,MATCH($CY228,'NM O&amp;G Production'!$P$3:$P$537,0),MATCH(DE$2,'NM O&amp;G Production'!$K$2:$O$2,0))</f>
        <v>59721</v>
      </c>
      <c r="DF228" s="258">
        <f>CK228/(DB228+DA228)</f>
        <v>38727.599999999999</v>
      </c>
      <c r="DG228" s="57">
        <f>DD228*(12/18)*1.06*'Oil and Gas Prices'!$C$18</f>
        <v>788333.27840000007</v>
      </c>
      <c r="DH228" s="284">
        <f>DE228*(12/18)*'Oil and Gas Prices'!$C$4</f>
        <v>1791630</v>
      </c>
      <c r="DI228" s="284">
        <f>DG228+DH228</f>
        <v>2579963.2784000002</v>
      </c>
      <c r="DJ228" s="57">
        <f>(DG228+DH228)/(DA228+DB228)</f>
        <v>85998.775946666676</v>
      </c>
      <c r="DK228" s="318"/>
    </row>
    <row r="229" spans="1:115" x14ac:dyDescent="0.25">
      <c r="A229" t="s">
        <v>3160</v>
      </c>
      <c r="B229" t="s">
        <v>3161</v>
      </c>
      <c r="D229" t="s">
        <v>3162</v>
      </c>
      <c r="E229" t="s">
        <v>80</v>
      </c>
      <c r="F229">
        <v>79015</v>
      </c>
      <c r="G229" t="s">
        <v>62</v>
      </c>
      <c r="I229">
        <v>464</v>
      </c>
      <c r="J229" t="s">
        <v>63</v>
      </c>
      <c r="K229" t="s">
        <v>4133</v>
      </c>
      <c r="L229" t="s">
        <v>64</v>
      </c>
      <c r="M229">
        <v>10</v>
      </c>
      <c r="N229" t="s">
        <v>3163</v>
      </c>
      <c r="O229" t="s">
        <v>3164</v>
      </c>
      <c r="Q229" t="s">
        <v>3165</v>
      </c>
      <c r="R229" t="s">
        <v>3162</v>
      </c>
      <c r="S229" t="s">
        <v>94</v>
      </c>
      <c r="T229" t="s">
        <v>3166</v>
      </c>
      <c r="U229" t="s">
        <v>62</v>
      </c>
      <c r="V229">
        <v>8066557183</v>
      </c>
      <c r="W229" s="1">
        <v>1159431</v>
      </c>
      <c r="X229">
        <v>4</v>
      </c>
      <c r="Y229">
        <v>4</v>
      </c>
      <c r="Z229">
        <v>1987</v>
      </c>
      <c r="AA229" t="s">
        <v>70</v>
      </c>
      <c r="AB229" t="s">
        <v>3167</v>
      </c>
      <c r="AC229" t="s">
        <v>98</v>
      </c>
      <c r="AD229" t="s">
        <v>119</v>
      </c>
      <c r="AE229">
        <v>1382</v>
      </c>
      <c r="AF229" t="s">
        <v>120</v>
      </c>
      <c r="AG229">
        <v>1311</v>
      </c>
      <c r="AH229" t="s">
        <v>100</v>
      </c>
      <c r="AI229">
        <v>13820000</v>
      </c>
      <c r="AJ229" t="s">
        <v>119</v>
      </c>
      <c r="AK229">
        <v>13110101</v>
      </c>
      <c r="AL229" t="s">
        <v>102</v>
      </c>
      <c r="AM229">
        <v>213112</v>
      </c>
      <c r="AN229" t="s">
        <v>74</v>
      </c>
      <c r="AO229">
        <v>211120</v>
      </c>
      <c r="AP229" t="s">
        <v>104</v>
      </c>
      <c r="AQ229" t="s">
        <v>75</v>
      </c>
      <c r="AT229" t="s">
        <v>76</v>
      </c>
      <c r="BF229">
        <v>0</v>
      </c>
      <c r="BG229">
        <v>0</v>
      </c>
      <c r="CK229" s="19">
        <f>IF(BQ229&gt;0,BQ229,W229)</f>
        <v>1159431</v>
      </c>
      <c r="CL229" s="20">
        <f>IF(BS229&gt;0,BS229,Y229)</f>
        <v>4</v>
      </c>
      <c r="CM229" s="34">
        <f>IF(CG229&gt;0,CG229,AM229)</f>
        <v>213112</v>
      </c>
      <c r="CN229" s="80">
        <f>IF($BH229="",1,COUNTIF($BH$3:$BH229,$BH229))</f>
        <v>1</v>
      </c>
      <c r="CP229" t="str">
        <f>IF($K229="Standard Match","Match",IF($K229="Name Only Match",IF($CO229="Yes","Match","Name Only Match"),"No Match"))</f>
        <v>Match</v>
      </c>
      <c r="CQ229" s="35" t="str">
        <f>IF(AND(CP229="Match",CK229&gt;0,CL229&gt;0),"Y","N")</f>
        <v>Y</v>
      </c>
      <c r="CS229" t="str">
        <f>IF($CQ229="Y",VLOOKUP($CM229,'SBA Size Standards'!$B$3:$G$57,MATCH('SBA Size Standards'!$G$3,'SBA Size Standards'!$B$3:$G$3,0),FALSE),"")</f>
        <v>Revenue</v>
      </c>
      <c r="CT229" s="60">
        <f>IF(CQ229="Y",IF($CS229="Employment","N/A",VLOOKUP($CM229,'SBA Size Standards'!$B$3:$G$57,MATCH('SBA Size Standards'!$E$3,'SBA Size Standards'!$B$3:$G$3,0),FALSE)),"")</f>
        <v>41500000</v>
      </c>
      <c r="CU229" s="86" t="str">
        <f>IF($CQ229="Y",IF($CS229="Revenue","N/A",VLOOKUP($CM229,'SBA Size Standards'!$B$3:$G$57,MATCH('SBA Size Standards'!$F$3,'SBA Size Standards'!$B$3:$G$3,0),FALSE)),"")</f>
        <v>N/A</v>
      </c>
      <c r="CV229" t="str">
        <f>IF($CQ229="Y",IF(OR(AND($CS229="Employment",$CL229&lt;$CU229),AND($CS229="Revenue",$CK229&lt;$CT229)),"YES","NO"),"")</f>
        <v>YES</v>
      </c>
      <c r="CW229" s="90" t="str">
        <f>IF($CQ229="Y",INDEX('SBA Size Standards'!$N$3:$N$12,MATCH($CK229,'SBA Size Standards'!$O$3:$O$12,1)),"")</f>
        <v>$1,000,001 - $5,000,000</v>
      </c>
      <c r="CX229" s="122" t="s">
        <v>4760</v>
      </c>
      <c r="CY229" s="122">
        <f>INDEX('NM O&amp;G Production'!$P$3:$P$537,MATCH(CX229,'NM O&amp;G Production'!$Q$3:$Q$537,0))</f>
        <v>464</v>
      </c>
      <c r="CZ229" s="122" t="str">
        <f>INDEX('NM O&amp;G Production'!$O$3:$O$537,MATCH(CY229,'NM O&amp;G Production'!$P$3:$P$537,0))</f>
        <v>Yes</v>
      </c>
      <c r="DA229" s="127">
        <f>INDEX('NM O&amp;G Production'!$K$3:$O$537,MATCH($CY229,'NM O&amp;G Production'!$P$3:$P$537,0),MATCH(DA$2,'NM O&amp;G Production'!$K$2:$O$2,0))</f>
        <v>0</v>
      </c>
      <c r="DB229" s="127">
        <f>INDEX('NM O&amp;G Production'!$K$3:$O$537,MATCH($CY229,'NM O&amp;G Production'!$P$3:$P$537,0),MATCH(DB$2,'NM O&amp;G Production'!$K$2:$O$2,0))</f>
        <v>2</v>
      </c>
      <c r="DC229" s="127">
        <f>DA229+DB229</f>
        <v>2</v>
      </c>
      <c r="DD229" s="127">
        <f>INDEX('NM O&amp;G Production'!$K$3:$O$537,MATCH($CY229,'NM O&amp;G Production'!$P$3:$P$537,0),MATCH(DD$2,'NM O&amp;G Production'!$K$2:$O$2,0))</f>
        <v>0</v>
      </c>
      <c r="DE229" s="127">
        <f>INDEX('NM O&amp;G Production'!$K$3:$O$537,MATCH($CY229,'NM O&amp;G Production'!$P$3:$P$537,0),MATCH(DE$2,'NM O&amp;G Production'!$K$2:$O$2,0))</f>
        <v>4875</v>
      </c>
      <c r="DF229" s="258">
        <f>CK229/(DB229+DA229)</f>
        <v>579715.5</v>
      </c>
      <c r="DG229" s="57">
        <f>DD229*(12/18)*1.06*'Oil and Gas Prices'!$C$18</f>
        <v>0</v>
      </c>
      <c r="DH229" s="284">
        <f>DE229*(12/18)*'Oil and Gas Prices'!$C$4</f>
        <v>146250</v>
      </c>
      <c r="DI229" s="284">
        <f>DG229+DH229</f>
        <v>146250</v>
      </c>
      <c r="DJ229" s="57">
        <f>(DG229+DH229)/(DA229+DB229)</f>
        <v>73125</v>
      </c>
      <c r="DK229" s="319"/>
    </row>
    <row r="230" spans="1:115" x14ac:dyDescent="0.25">
      <c r="A230" t="s">
        <v>2215</v>
      </c>
      <c r="B230" t="s">
        <v>2216</v>
      </c>
      <c r="D230" t="s">
        <v>206</v>
      </c>
      <c r="E230" t="s">
        <v>84</v>
      </c>
      <c r="F230">
        <v>88242</v>
      </c>
      <c r="G230" t="s">
        <v>62</v>
      </c>
      <c r="I230">
        <v>313</v>
      </c>
      <c r="J230" t="s">
        <v>63</v>
      </c>
      <c r="K230" t="s">
        <v>4133</v>
      </c>
      <c r="L230" t="s">
        <v>64</v>
      </c>
      <c r="M230">
        <v>10</v>
      </c>
      <c r="N230" t="s">
        <v>2217</v>
      </c>
      <c r="O230" t="s">
        <v>2218</v>
      </c>
      <c r="Q230" t="s">
        <v>2219</v>
      </c>
      <c r="R230" t="s">
        <v>206</v>
      </c>
      <c r="S230" t="s">
        <v>214</v>
      </c>
      <c r="T230" t="s">
        <v>2220</v>
      </c>
      <c r="U230" t="s">
        <v>62</v>
      </c>
      <c r="V230">
        <v>5753922702</v>
      </c>
      <c r="W230" s="1">
        <v>1153055</v>
      </c>
      <c r="X230">
        <v>3</v>
      </c>
      <c r="Y230">
        <v>3</v>
      </c>
      <c r="Z230">
        <v>1994</v>
      </c>
      <c r="AA230" t="s">
        <v>70</v>
      </c>
      <c r="AB230" t="s">
        <v>2221</v>
      </c>
      <c r="AD230" t="s">
        <v>99</v>
      </c>
      <c r="AE230">
        <v>1311</v>
      </c>
      <c r="AF230" t="s">
        <v>100</v>
      </c>
      <c r="AI230">
        <v>13110101</v>
      </c>
      <c r="AJ230" t="s">
        <v>102</v>
      </c>
      <c r="AM230">
        <v>211120</v>
      </c>
      <c r="AN230" t="s">
        <v>104</v>
      </c>
      <c r="AQ230" t="s">
        <v>75</v>
      </c>
      <c r="AT230" t="s">
        <v>76</v>
      </c>
      <c r="BF230">
        <v>0</v>
      </c>
      <c r="BG230">
        <v>0</v>
      </c>
      <c r="CK230" s="19">
        <f>IF(BQ230&gt;0,BQ230,W230)</f>
        <v>1153055</v>
      </c>
      <c r="CL230" s="20">
        <f>IF(BS230&gt;0,BS230,Y230)</f>
        <v>3</v>
      </c>
      <c r="CM230" s="34">
        <f>IF(CG230&gt;0,CG230,AM230)</f>
        <v>211120</v>
      </c>
      <c r="CN230" s="80">
        <f>IF($BH230="",1,COUNTIF($BH$3:$BH230,$BH230))</f>
        <v>1</v>
      </c>
      <c r="CP230" t="str">
        <f>IF($K230="Standard Match","Match",IF($K230="Name Only Match",IF($CO230="Yes","Match","Name Only Match"),"No Match"))</f>
        <v>Match</v>
      </c>
      <c r="CQ230" s="35" t="str">
        <f>IF(AND(CP230="Match",CK230&gt;0,CL230&gt;0),"Y","N")</f>
        <v>Y</v>
      </c>
      <c r="CS230" t="str">
        <f>IF($CQ230="Y",VLOOKUP($CM230,'SBA Size Standards'!$B$3:$G$57,MATCH('SBA Size Standards'!$G$3,'SBA Size Standards'!$B$3:$G$3,0),FALSE),"")</f>
        <v>Employment</v>
      </c>
      <c r="CT230" s="60" t="str">
        <f>IF(CQ230="Y",IF($CS230="Employment","N/A",VLOOKUP($CM230,'SBA Size Standards'!$B$3:$G$57,MATCH('SBA Size Standards'!$E$3,'SBA Size Standards'!$B$3:$G$3,0),FALSE)),"")</f>
        <v>N/A</v>
      </c>
      <c r="CU230" s="86">
        <f>IF($CQ230="Y",IF($CS230="Revenue","N/A",VLOOKUP($CM230,'SBA Size Standards'!$B$3:$G$57,MATCH('SBA Size Standards'!$F$3,'SBA Size Standards'!$B$3:$G$3,0),FALSE)),"")</f>
        <v>1250</v>
      </c>
      <c r="CV230" t="str">
        <f>IF($CQ230="Y",IF(OR(AND($CS230="Employment",$CL230&lt;$CU230),AND($CS230="Revenue",$CK230&lt;$CT230)),"YES","NO"),"")</f>
        <v>YES</v>
      </c>
      <c r="CW230" s="90" t="str">
        <f>IF($CQ230="Y",INDEX('SBA Size Standards'!$N$3:$N$12,MATCH($CK230,'SBA Size Standards'!$O$3:$O$12,1)),"")</f>
        <v>$1,000,001 - $5,000,000</v>
      </c>
      <c r="CX230" s="122" t="s">
        <v>4683</v>
      </c>
      <c r="CY230" s="122">
        <f>INDEX('NM O&amp;G Production'!$P$3:$P$537,MATCH(CX230,'NM O&amp;G Production'!$Q$3:$Q$537,0))</f>
        <v>313</v>
      </c>
      <c r="CZ230" s="122" t="str">
        <f>INDEX('NM O&amp;G Production'!$O$3:$O$537,MATCH(CY230,'NM O&amp;G Production'!$P$3:$P$537,0))</f>
        <v>Yes</v>
      </c>
      <c r="DA230" s="127">
        <f>INDEX('NM O&amp;G Production'!$K$3:$O$537,MATCH($CY230,'NM O&amp;G Production'!$P$3:$P$537,0),MATCH(DA$2,'NM O&amp;G Production'!$K$2:$O$2,0))</f>
        <v>0</v>
      </c>
      <c r="DB230" s="127">
        <f>INDEX('NM O&amp;G Production'!$K$3:$O$537,MATCH($CY230,'NM O&amp;G Production'!$P$3:$P$537,0),MATCH(DB$2,'NM O&amp;G Production'!$K$2:$O$2,0))</f>
        <v>12</v>
      </c>
      <c r="DC230" s="127">
        <f>DA230+DB230</f>
        <v>12</v>
      </c>
      <c r="DD230" s="127">
        <f>INDEX('NM O&amp;G Production'!$K$3:$O$537,MATCH($CY230,'NM O&amp;G Production'!$P$3:$P$537,0),MATCH(DD$2,'NM O&amp;G Production'!$K$2:$O$2,0))</f>
        <v>0</v>
      </c>
      <c r="DE230" s="127">
        <f>INDEX('NM O&amp;G Production'!$K$3:$O$537,MATCH($CY230,'NM O&amp;G Production'!$P$3:$P$537,0),MATCH(DE$2,'NM O&amp;G Production'!$K$2:$O$2,0))</f>
        <v>3255</v>
      </c>
      <c r="DF230" s="258">
        <f>CK230/(DB230+DA230)</f>
        <v>96087.916666666672</v>
      </c>
      <c r="DG230" s="57">
        <f>DD230*(12/18)*1.06*'Oil and Gas Prices'!$C$18</f>
        <v>0</v>
      </c>
      <c r="DH230" s="284">
        <f>DE230*(12/18)*'Oil and Gas Prices'!$C$4</f>
        <v>97650</v>
      </c>
      <c r="DI230" s="284">
        <f>DG230+DH230</f>
        <v>97650</v>
      </c>
      <c r="DJ230" s="57">
        <f>(DG230+DH230)/(DA230+DB230)</f>
        <v>8137.5</v>
      </c>
      <c r="DK230" s="319"/>
    </row>
    <row r="231" spans="1:115" x14ac:dyDescent="0.25">
      <c r="A231" t="s">
        <v>3288</v>
      </c>
      <c r="B231" t="s">
        <v>3289</v>
      </c>
      <c r="D231" t="s">
        <v>88</v>
      </c>
      <c r="E231" t="s">
        <v>80</v>
      </c>
      <c r="F231">
        <v>76012</v>
      </c>
      <c r="G231" t="s">
        <v>62</v>
      </c>
      <c r="I231">
        <v>485</v>
      </c>
      <c r="J231" t="s">
        <v>63</v>
      </c>
      <c r="K231" t="s">
        <v>4133</v>
      </c>
      <c r="L231" t="s">
        <v>64</v>
      </c>
      <c r="M231">
        <v>10</v>
      </c>
      <c r="N231" t="s">
        <v>3290</v>
      </c>
      <c r="O231" t="s">
        <v>3291</v>
      </c>
      <c r="Q231" t="s">
        <v>3292</v>
      </c>
      <c r="R231" t="s">
        <v>88</v>
      </c>
      <c r="S231" t="s">
        <v>94</v>
      </c>
      <c r="T231" t="s">
        <v>3293</v>
      </c>
      <c r="U231" t="s">
        <v>62</v>
      </c>
      <c r="V231">
        <v>8178972134</v>
      </c>
      <c r="W231" s="1">
        <v>1137603</v>
      </c>
      <c r="X231">
        <v>8</v>
      </c>
      <c r="Y231">
        <v>8</v>
      </c>
      <c r="Z231">
        <v>2018</v>
      </c>
      <c r="AA231" t="s">
        <v>70</v>
      </c>
      <c r="AD231" t="s">
        <v>2692</v>
      </c>
      <c r="AE231">
        <v>1623</v>
      </c>
      <c r="AF231" t="s">
        <v>2693</v>
      </c>
      <c r="AI231">
        <v>16230100</v>
      </c>
      <c r="AJ231" t="s">
        <v>3294</v>
      </c>
      <c r="AM231">
        <v>237120</v>
      </c>
      <c r="AN231" t="s">
        <v>413</v>
      </c>
      <c r="AQ231" t="s">
        <v>75</v>
      </c>
      <c r="AT231" t="s">
        <v>76</v>
      </c>
      <c r="BF231">
        <v>0</v>
      </c>
      <c r="BG231">
        <v>0</v>
      </c>
      <c r="CK231" s="19">
        <f>IF(BQ231&gt;0,BQ231,W231)</f>
        <v>1137603</v>
      </c>
      <c r="CL231" s="20">
        <f>IF(BS231&gt;0,BS231,Y231)</f>
        <v>8</v>
      </c>
      <c r="CM231" s="34">
        <f>IF(CG231&gt;0,CG231,AM231)</f>
        <v>237120</v>
      </c>
      <c r="CN231" s="80">
        <f>IF($BH231="",1,COUNTIF($BH$3:$BH231,$BH231))</f>
        <v>1</v>
      </c>
      <c r="CP231" t="str">
        <f>IF($K231="Standard Match","Match",IF($K231="Name Only Match",IF($CO231="Yes","Match","Name Only Match"),"No Match"))</f>
        <v>Match</v>
      </c>
      <c r="CQ231" s="35" t="str">
        <f>IF(AND(CP231="Match",CK231&gt;0,CL231&gt;0),"Y","N")</f>
        <v>Y</v>
      </c>
      <c r="CS231" t="str">
        <f>IF($CQ231="Y",VLOOKUP($CM231,'SBA Size Standards'!$B$3:$G$57,MATCH('SBA Size Standards'!$G$3,'SBA Size Standards'!$B$3:$G$3,0),FALSE),"")</f>
        <v>Revenue</v>
      </c>
      <c r="CT231" s="60">
        <f>IF(CQ231="Y",IF($CS231="Employment","N/A",VLOOKUP($CM231,'SBA Size Standards'!$B$3:$G$57,MATCH('SBA Size Standards'!$E$3,'SBA Size Standards'!$B$3:$G$3,0),FALSE)),"")</f>
        <v>39500000</v>
      </c>
      <c r="CU231" s="86" t="str">
        <f>IF($CQ231="Y",IF($CS231="Revenue","N/A",VLOOKUP($CM231,'SBA Size Standards'!$B$3:$G$57,MATCH('SBA Size Standards'!$F$3,'SBA Size Standards'!$B$3:$G$3,0),FALSE)),"")</f>
        <v>N/A</v>
      </c>
      <c r="CV231" t="str">
        <f>IF($CQ231="Y",IF(OR(AND($CS231="Employment",$CL231&lt;$CU231),AND($CS231="Revenue",$CK231&lt;$CT231)),"YES","NO"),"")</f>
        <v>YES</v>
      </c>
      <c r="CW231" s="90" t="str">
        <f>IF($CQ231="Y",INDEX('SBA Size Standards'!$N$3:$N$12,MATCH($CK231,'SBA Size Standards'!$O$3:$O$12,1)),"")</f>
        <v>$1,000,001 - $5,000,000</v>
      </c>
      <c r="CX231" s="122" t="s">
        <v>4769</v>
      </c>
      <c r="CY231" s="122">
        <f>INDEX('NM O&amp;G Production'!$P$3:$P$537,MATCH(CX231,'NM O&amp;G Production'!$Q$3:$Q$537,0))</f>
        <v>485</v>
      </c>
      <c r="CZ231" s="122" t="str">
        <f>INDEX('NM O&amp;G Production'!$O$3:$O$537,MATCH(CY231,'NM O&amp;G Production'!$P$3:$P$537,0))</f>
        <v>Yes</v>
      </c>
      <c r="DA231" s="127">
        <f>INDEX('NM O&amp;G Production'!$K$3:$O$537,MATCH($CY231,'NM O&amp;G Production'!$P$3:$P$537,0),MATCH(DA$2,'NM O&amp;G Production'!$K$2:$O$2,0))</f>
        <v>1</v>
      </c>
      <c r="DB231" s="127">
        <f>INDEX('NM O&amp;G Production'!$K$3:$O$537,MATCH($CY231,'NM O&amp;G Production'!$P$3:$P$537,0),MATCH(DB$2,'NM O&amp;G Production'!$K$2:$O$2,0))</f>
        <v>2</v>
      </c>
      <c r="DC231" s="127">
        <f>DA231+DB231</f>
        <v>3</v>
      </c>
      <c r="DD231" s="127">
        <f>INDEX('NM O&amp;G Production'!$K$3:$O$537,MATCH($CY231,'NM O&amp;G Production'!$P$3:$P$537,0),MATCH(DD$2,'NM O&amp;G Production'!$K$2:$O$2,0))</f>
        <v>41972</v>
      </c>
      <c r="DE231" s="127">
        <f>INDEX('NM O&amp;G Production'!$K$3:$O$537,MATCH($CY231,'NM O&amp;G Production'!$P$3:$P$537,0),MATCH(DE$2,'NM O&amp;G Production'!$K$2:$O$2,0))</f>
        <v>8102</v>
      </c>
      <c r="DF231" s="258">
        <f>CK231/(DB231+DA231)</f>
        <v>379201</v>
      </c>
      <c r="DG231" s="57">
        <f>DD231*(12/18)*1.06*'Oil and Gas Prices'!$C$18</f>
        <v>70887.909866666669</v>
      </c>
      <c r="DH231" s="284">
        <f>DE231*(12/18)*'Oil and Gas Prices'!$C$4</f>
        <v>243060</v>
      </c>
      <c r="DI231" s="284">
        <f>DG231+DH231</f>
        <v>313947.90986666665</v>
      </c>
      <c r="DJ231" s="57">
        <f>(DG231+DH231)/(DA231+DB231)</f>
        <v>104649.30328888888</v>
      </c>
      <c r="DK231" s="319"/>
    </row>
    <row r="232" spans="1:115" x14ac:dyDescent="0.25">
      <c r="A232" t="s">
        <v>1138</v>
      </c>
      <c r="B232" t="s">
        <v>1139</v>
      </c>
      <c r="D232" t="s">
        <v>112</v>
      </c>
      <c r="E232" t="s">
        <v>80</v>
      </c>
      <c r="F232">
        <v>77251</v>
      </c>
      <c r="G232" t="s">
        <v>62</v>
      </c>
      <c r="I232">
        <v>149</v>
      </c>
      <c r="J232" t="s">
        <v>404</v>
      </c>
      <c r="K232" t="s">
        <v>4133</v>
      </c>
      <c r="L232" t="s">
        <v>149</v>
      </c>
      <c r="M232">
        <v>10</v>
      </c>
      <c r="N232" t="s">
        <v>1140</v>
      </c>
      <c r="O232" t="s">
        <v>1141</v>
      </c>
      <c r="P232" t="s">
        <v>1142</v>
      </c>
      <c r="Q232" t="s">
        <v>1143</v>
      </c>
      <c r="R232" t="s">
        <v>112</v>
      </c>
      <c r="S232" t="s">
        <v>94</v>
      </c>
      <c r="T232" t="s">
        <v>1144</v>
      </c>
      <c r="U232" t="s">
        <v>62</v>
      </c>
      <c r="V232">
        <v>7138536161</v>
      </c>
      <c r="W232" s="1">
        <v>1134086</v>
      </c>
      <c r="X232">
        <v>5</v>
      </c>
      <c r="Y232">
        <v>20</v>
      </c>
      <c r="AA232" t="s">
        <v>70</v>
      </c>
      <c r="AB232" t="s">
        <v>1145</v>
      </c>
      <c r="AC232" t="s">
        <v>231</v>
      </c>
      <c r="AD232" t="s">
        <v>1027</v>
      </c>
      <c r="AE232">
        <v>4922</v>
      </c>
      <c r="AF232" t="s">
        <v>1028</v>
      </c>
      <c r="AI232">
        <v>49220000</v>
      </c>
      <c r="AJ232" t="s">
        <v>1027</v>
      </c>
      <c r="AM232">
        <v>486210</v>
      </c>
      <c r="AN232" t="s">
        <v>1029</v>
      </c>
      <c r="AQ232" t="s">
        <v>75</v>
      </c>
      <c r="AT232" t="s">
        <v>76</v>
      </c>
      <c r="BF232">
        <v>0</v>
      </c>
      <c r="BG232">
        <v>0</v>
      </c>
      <c r="CK232" s="19">
        <f>IF(BQ232&gt;0,BQ232,W232)</f>
        <v>1134086</v>
      </c>
      <c r="CL232" s="20">
        <f>IF(BS232&gt;0,BS232,Y232)</f>
        <v>20</v>
      </c>
      <c r="CM232" s="34">
        <f>IF(CG232&gt;0,CG232,AM232)</f>
        <v>486210</v>
      </c>
      <c r="CN232" s="80">
        <f>IF($BH232="",1,COUNTIF($BH$3:$BH232,$BH232))</f>
        <v>1</v>
      </c>
      <c r="CP232" t="str">
        <f>IF($K232="Standard Match","Match",IF($K232="Name Only Match",IF($CO232="Yes","Match","Name Only Match"),"No Match"))</f>
        <v>Match</v>
      </c>
      <c r="CQ232" s="35" t="str">
        <f>IF(AND(CP232="Match",CK232&gt;0,CL232&gt;0),"Y","N")</f>
        <v>Y</v>
      </c>
      <c r="CS232" t="str">
        <f>IF($CQ232="Y",VLOOKUP($CM232,'SBA Size Standards'!$B$3:$G$57,MATCH('SBA Size Standards'!$G$3,'SBA Size Standards'!$B$3:$G$3,0),FALSE),"")</f>
        <v>Revenue</v>
      </c>
      <c r="CT232" s="60">
        <f>IF(CQ232="Y",IF($CS232="Employment","N/A",VLOOKUP($CM232,'SBA Size Standards'!$B$3:$G$57,MATCH('SBA Size Standards'!$E$3,'SBA Size Standards'!$B$3:$G$3,0),FALSE)),"")</f>
        <v>30000000</v>
      </c>
      <c r="CU232" s="86" t="str">
        <f>IF($CQ232="Y",IF($CS232="Revenue","N/A",VLOOKUP($CM232,'SBA Size Standards'!$B$3:$G$57,MATCH('SBA Size Standards'!$F$3,'SBA Size Standards'!$B$3:$G$3,0),FALSE)),"")</f>
        <v>N/A</v>
      </c>
      <c r="CV232" t="str">
        <f>IF($CQ232="Y",IF(OR(AND($CS232="Employment",$CL232&lt;$CU232),AND($CS232="Revenue",$CK232&lt;$CT232)),"YES","NO"),"")</f>
        <v>YES</v>
      </c>
      <c r="CW232" s="90" t="str">
        <f>IF($CQ232="Y",INDEX('SBA Size Standards'!$N$3:$N$12,MATCH($CK232,'SBA Size Standards'!$O$3:$O$12,1)),"")</f>
        <v>$1,000,001 - $5,000,000</v>
      </c>
      <c r="CX232" s="122" t="s">
        <v>4603</v>
      </c>
      <c r="CY232" s="122">
        <f>INDEX('NM O&amp;G Production'!$P$3:$P$537,MATCH(CX232,'NM O&amp;G Production'!$Q$3:$Q$537,0))</f>
        <v>149</v>
      </c>
      <c r="CZ232" s="122" t="str">
        <f>INDEX('NM O&amp;G Production'!$O$3:$O$537,MATCH(CY232,'NM O&amp;G Production'!$P$3:$P$537,0))</f>
        <v>No</v>
      </c>
      <c r="DA232" s="127">
        <f>INDEX('NM O&amp;G Production'!$K$3:$O$537,MATCH($CY232,'NM O&amp;G Production'!$P$3:$P$537,0),MATCH(DA$2,'NM O&amp;G Production'!$K$2:$O$2,0))</f>
        <v>0</v>
      </c>
      <c r="DB232" s="127">
        <f>INDEX('NM O&amp;G Production'!$K$3:$O$537,MATCH($CY232,'NM O&amp;G Production'!$P$3:$P$537,0),MATCH(DB$2,'NM O&amp;G Production'!$K$2:$O$2,0))</f>
        <v>0</v>
      </c>
      <c r="DC232" s="127"/>
      <c r="DD232" s="127">
        <f>INDEX('NM O&amp;G Production'!$K$3:$O$537,MATCH($CY232,'NM O&amp;G Production'!$P$3:$P$537,0),MATCH(DD$2,'NM O&amp;G Production'!$K$2:$O$2,0))</f>
        <v>0</v>
      </c>
      <c r="DE232" s="127">
        <f>INDEX('NM O&amp;G Production'!$K$3:$O$537,MATCH($CY232,'NM O&amp;G Production'!$P$3:$P$537,0),MATCH(DE$2,'NM O&amp;G Production'!$K$2:$O$2,0))</f>
        <v>0</v>
      </c>
      <c r="DF232" s="258" t="e">
        <f>CK232/(DB232+DA232)</f>
        <v>#DIV/0!</v>
      </c>
      <c r="DG232" s="57">
        <f>DD232*(12/18)*1.06*'Oil and Gas Prices'!$C$18</f>
        <v>0</v>
      </c>
      <c r="DH232" s="284">
        <f>DE232*(12/18)*'Oil and Gas Prices'!$C$4</f>
        <v>0</v>
      </c>
      <c r="DI232" s="284"/>
      <c r="DJ232" s="57" t="e">
        <f>(DG232+DH232)/(DA232+DB232)</f>
        <v>#DIV/0!</v>
      </c>
      <c r="DK232" s="18" t="e">
        <f>CK232/DI232</f>
        <v>#DIV/0!</v>
      </c>
    </row>
    <row r="233" spans="1:115" x14ac:dyDescent="0.25">
      <c r="A233" t="s">
        <v>2460</v>
      </c>
      <c r="B233" t="s">
        <v>2461</v>
      </c>
      <c r="D233" t="s">
        <v>206</v>
      </c>
      <c r="E233" t="s">
        <v>84</v>
      </c>
      <c r="F233">
        <v>88240</v>
      </c>
      <c r="G233" t="s">
        <v>62</v>
      </c>
      <c r="I233">
        <v>352</v>
      </c>
      <c r="J233" t="s">
        <v>63</v>
      </c>
      <c r="K233" t="s">
        <v>4133</v>
      </c>
      <c r="L233" t="s">
        <v>64</v>
      </c>
      <c r="M233">
        <v>10</v>
      </c>
      <c r="N233" t="s">
        <v>2462</v>
      </c>
      <c r="O233" t="s">
        <v>2463</v>
      </c>
      <c r="Q233" t="s">
        <v>2464</v>
      </c>
      <c r="R233" t="s">
        <v>206</v>
      </c>
      <c r="S233" t="s">
        <v>214</v>
      </c>
      <c r="T233" t="s">
        <v>2465</v>
      </c>
      <c r="U233" t="s">
        <v>62</v>
      </c>
      <c r="V233">
        <v>5754921236</v>
      </c>
      <c r="W233" s="1">
        <v>1129064</v>
      </c>
      <c r="X233">
        <v>4</v>
      </c>
      <c r="Y233">
        <v>4</v>
      </c>
      <c r="Z233">
        <v>1961</v>
      </c>
      <c r="AA233" t="s">
        <v>163</v>
      </c>
      <c r="AB233" t="s">
        <v>2466</v>
      </c>
      <c r="AC233" t="s">
        <v>98</v>
      </c>
      <c r="AD233" t="s">
        <v>99</v>
      </c>
      <c r="AE233">
        <v>7011</v>
      </c>
      <c r="AF233" t="s">
        <v>2467</v>
      </c>
      <c r="AI233">
        <v>70110000</v>
      </c>
      <c r="AJ233" t="s">
        <v>2468</v>
      </c>
      <c r="AM233">
        <v>211120</v>
      </c>
      <c r="AN233" t="s">
        <v>104</v>
      </c>
      <c r="AQ233" t="s">
        <v>75</v>
      </c>
      <c r="AR233" t="s">
        <v>2462</v>
      </c>
      <c r="AS233" t="s">
        <v>2463</v>
      </c>
      <c r="AT233" t="s">
        <v>427</v>
      </c>
      <c r="AU233" t="s">
        <v>84</v>
      </c>
      <c r="AV233" t="s">
        <v>62</v>
      </c>
      <c r="AW233" t="s">
        <v>2462</v>
      </c>
      <c r="AX233" t="s">
        <v>2463</v>
      </c>
      <c r="AY233" t="s">
        <v>84</v>
      </c>
      <c r="AZ233" t="s">
        <v>62</v>
      </c>
      <c r="BE233" t="s">
        <v>62</v>
      </c>
      <c r="BF233">
        <v>1</v>
      </c>
      <c r="BG233">
        <v>2</v>
      </c>
      <c r="BH233" s="4" t="s">
        <v>2462</v>
      </c>
      <c r="BI233" s="4" t="s">
        <v>2463</v>
      </c>
      <c r="BK233" s="4" t="s">
        <v>2464</v>
      </c>
      <c r="BL233" s="4" t="s">
        <v>206</v>
      </c>
      <c r="BM233" s="4" t="s">
        <v>214</v>
      </c>
      <c r="BN233" s="4" t="s">
        <v>2465</v>
      </c>
      <c r="BO233" s="4" t="s">
        <v>62</v>
      </c>
      <c r="BP233" s="4">
        <v>5754921236</v>
      </c>
      <c r="BQ233" s="5">
        <v>1129064</v>
      </c>
      <c r="BR233" s="4">
        <v>4</v>
      </c>
      <c r="BS233" s="4">
        <v>4</v>
      </c>
      <c r="BT233" s="4">
        <v>1961</v>
      </c>
      <c r="BU233" s="4" t="s">
        <v>163</v>
      </c>
      <c r="BV233" s="4" t="s">
        <v>2466</v>
      </c>
      <c r="BW233" s="4" t="s">
        <v>98</v>
      </c>
      <c r="BX233" s="4" t="s">
        <v>99</v>
      </c>
      <c r="BY233" s="4">
        <v>7011</v>
      </c>
      <c r="BZ233" s="4" t="s">
        <v>2467</v>
      </c>
      <c r="CC233" s="4">
        <v>70110000</v>
      </c>
      <c r="CD233" s="4" t="s">
        <v>2468</v>
      </c>
      <c r="CG233" s="4">
        <v>211120</v>
      </c>
      <c r="CH233" s="4" t="s">
        <v>104</v>
      </c>
      <c r="CK233" s="19">
        <f>IF(BQ233&gt;0,BQ233,W233)</f>
        <v>1129064</v>
      </c>
      <c r="CL233" s="20">
        <f>IF(BS233&gt;0,BS233,Y233)</f>
        <v>4</v>
      </c>
      <c r="CM233" s="34">
        <f>IF(CG233&gt;0,CG233,AM233)</f>
        <v>211120</v>
      </c>
      <c r="CN233" s="80">
        <f>IF($BH233="",1,COUNTIF($BH$3:$BH233,$BH233))</f>
        <v>1</v>
      </c>
      <c r="CP233" t="str">
        <f>IF($K233="Standard Match","Match",IF($K233="Name Only Match",IF($CO233="Yes","Match","Name Only Match"),"No Match"))</f>
        <v>Match</v>
      </c>
      <c r="CQ233" s="35" t="str">
        <f>IF(AND(CP233="Match",CK233&gt;0,CL233&gt;0),"Y","N")</f>
        <v>Y</v>
      </c>
      <c r="CS233" t="str">
        <f>IF($CQ233="Y",VLOOKUP($CM233,'SBA Size Standards'!$B$3:$G$57,MATCH('SBA Size Standards'!$G$3,'SBA Size Standards'!$B$3:$G$3,0),FALSE),"")</f>
        <v>Employment</v>
      </c>
      <c r="CT233" s="60" t="str">
        <f>IF(CQ233="Y",IF($CS233="Employment","N/A",VLOOKUP($CM233,'SBA Size Standards'!$B$3:$G$57,MATCH('SBA Size Standards'!$E$3,'SBA Size Standards'!$B$3:$G$3,0),FALSE)),"")</f>
        <v>N/A</v>
      </c>
      <c r="CU233" s="86">
        <f>IF($CQ233="Y",IF($CS233="Revenue","N/A",VLOOKUP($CM233,'SBA Size Standards'!$B$3:$G$57,MATCH('SBA Size Standards'!$F$3,'SBA Size Standards'!$B$3:$G$3,0),FALSE)),"")</f>
        <v>1250</v>
      </c>
      <c r="CV233" t="str">
        <f>IF($CQ233="Y",IF(OR(AND($CS233="Employment",$CL233&lt;$CU233),AND($CS233="Revenue",$CK233&lt;$CT233)),"YES","NO"),"")</f>
        <v>YES</v>
      </c>
      <c r="CW233" s="90" t="str">
        <f>IF($CQ233="Y",INDEX('SBA Size Standards'!$N$3:$N$12,MATCH($CK233,'SBA Size Standards'!$O$3:$O$12,1)),"")</f>
        <v>$1,000,001 - $5,000,000</v>
      </c>
      <c r="CX233" s="122" t="s">
        <v>4698</v>
      </c>
      <c r="CY233" s="122">
        <f>INDEX('NM O&amp;G Production'!$P$3:$P$537,MATCH(CX233,'NM O&amp;G Production'!$Q$3:$Q$537,0))</f>
        <v>352</v>
      </c>
      <c r="CZ233" s="122" t="str">
        <f>INDEX('NM O&amp;G Production'!$O$3:$O$537,MATCH(CY233,'NM O&amp;G Production'!$P$3:$P$537,0))</f>
        <v>Yes</v>
      </c>
      <c r="DA233" s="127">
        <f>INDEX('NM O&amp;G Production'!$K$3:$O$537,MATCH($CY233,'NM O&amp;G Production'!$P$3:$P$537,0),MATCH(DA$2,'NM O&amp;G Production'!$K$2:$O$2,0))</f>
        <v>40</v>
      </c>
      <c r="DB233" s="127">
        <f>INDEX('NM O&amp;G Production'!$K$3:$O$537,MATCH($CY233,'NM O&amp;G Production'!$P$3:$P$537,0),MATCH(DB$2,'NM O&amp;G Production'!$K$2:$O$2,0))</f>
        <v>228</v>
      </c>
      <c r="DC233" s="127">
        <f>DA233+DB233</f>
        <v>268</v>
      </c>
      <c r="DD233" s="127">
        <f>INDEX('NM O&amp;G Production'!$K$3:$O$537,MATCH($CY233,'NM O&amp;G Production'!$P$3:$P$537,0),MATCH(DD$2,'NM O&amp;G Production'!$K$2:$O$2,0))</f>
        <v>2964554</v>
      </c>
      <c r="DE233" s="127">
        <f>INDEX('NM O&amp;G Production'!$K$3:$O$537,MATCH($CY233,'NM O&amp;G Production'!$P$3:$P$537,0),MATCH(DE$2,'NM O&amp;G Production'!$K$2:$O$2,0))</f>
        <v>267965</v>
      </c>
      <c r="DF233" s="258">
        <f>CK233/(DB233+DA233)</f>
        <v>4212.9253731343288</v>
      </c>
      <c r="DG233" s="57">
        <f>DD233*(12/18)*1.06*'Oil and Gas Prices'!$C$18</f>
        <v>5006934.069066667</v>
      </c>
      <c r="DH233" s="284">
        <f>DE233*(12/18)*'Oil and Gas Prices'!$C$4</f>
        <v>8038949.9999999991</v>
      </c>
      <c r="DI233" s="284">
        <f>DG233+DH233</f>
        <v>13045884.069066666</v>
      </c>
      <c r="DJ233" s="57">
        <f>(DG233+DH233)/(DA233+DB233)</f>
        <v>48678.671899502486</v>
      </c>
      <c r="DK233" s="318"/>
    </row>
    <row r="234" spans="1:115" x14ac:dyDescent="0.25">
      <c r="A234" s="21" t="s">
        <v>1864</v>
      </c>
      <c r="B234" s="21" t="s">
        <v>1865</v>
      </c>
      <c r="C234" s="21"/>
      <c r="D234" s="21" t="s">
        <v>1866</v>
      </c>
      <c r="E234" s="21" t="s">
        <v>80</v>
      </c>
      <c r="F234">
        <v>77474</v>
      </c>
      <c r="G234" t="s">
        <v>62</v>
      </c>
      <c r="I234">
        <v>256</v>
      </c>
      <c r="J234" t="s">
        <v>63</v>
      </c>
      <c r="K234" t="s">
        <v>4134</v>
      </c>
      <c r="L234" t="s">
        <v>3627</v>
      </c>
      <c r="M234">
        <v>8</v>
      </c>
      <c r="N234" t="s">
        <v>3896</v>
      </c>
      <c r="O234" s="21" t="s">
        <v>3897</v>
      </c>
      <c r="P234" s="21"/>
      <c r="Q234" s="21" t="s">
        <v>3898</v>
      </c>
      <c r="R234" s="21" t="s">
        <v>153</v>
      </c>
      <c r="S234" s="21" t="s">
        <v>94</v>
      </c>
      <c r="T234" t="s">
        <v>3899</v>
      </c>
      <c r="U234" t="s">
        <v>62</v>
      </c>
      <c r="V234">
        <v>4326875047</v>
      </c>
      <c r="W234" s="23">
        <v>1122649</v>
      </c>
      <c r="X234" s="21">
        <v>2</v>
      </c>
      <c r="Y234" s="21">
        <v>5</v>
      </c>
      <c r="Z234">
        <v>1968</v>
      </c>
      <c r="AA234" s="21" t="s">
        <v>163</v>
      </c>
      <c r="AB234" t="s">
        <v>3900</v>
      </c>
      <c r="AC234" t="s">
        <v>98</v>
      </c>
      <c r="AD234" s="21" t="s">
        <v>99</v>
      </c>
      <c r="AE234">
        <v>1311</v>
      </c>
      <c r="AF234" t="s">
        <v>100</v>
      </c>
      <c r="AI234">
        <v>13110101</v>
      </c>
      <c r="AJ234" t="s">
        <v>102</v>
      </c>
      <c r="AM234" s="21">
        <v>211120</v>
      </c>
      <c r="AN234" s="21" t="s">
        <v>104</v>
      </c>
      <c r="AO234" s="21"/>
      <c r="AP234" s="21"/>
      <c r="AQ234" s="21" t="s">
        <v>75</v>
      </c>
      <c r="AR234" t="s">
        <v>3896</v>
      </c>
      <c r="AS234" t="s">
        <v>3897</v>
      </c>
      <c r="AT234" t="s">
        <v>427</v>
      </c>
      <c r="AU234" t="s">
        <v>80</v>
      </c>
      <c r="AV234" t="s">
        <v>62</v>
      </c>
      <c r="AW234" t="s">
        <v>3896</v>
      </c>
      <c r="AX234" t="s">
        <v>3897</v>
      </c>
      <c r="AY234" t="s">
        <v>80</v>
      </c>
      <c r="AZ234" t="s">
        <v>62</v>
      </c>
      <c r="BE234" t="s">
        <v>62</v>
      </c>
      <c r="BF234">
        <v>1</v>
      </c>
      <c r="BG234" s="24">
        <v>2</v>
      </c>
      <c r="BH234" s="24" t="s">
        <v>3896</v>
      </c>
      <c r="BI234" s="24" t="s">
        <v>3897</v>
      </c>
      <c r="BJ234" s="24"/>
      <c r="BK234" s="24" t="s">
        <v>3898</v>
      </c>
      <c r="BL234" s="24" t="s">
        <v>153</v>
      </c>
      <c r="BM234" s="24" t="s">
        <v>94</v>
      </c>
      <c r="BN234" s="24" t="s">
        <v>3899</v>
      </c>
      <c r="BO234" s="24" t="s">
        <v>62</v>
      </c>
      <c r="BP234" s="4">
        <v>4326875047</v>
      </c>
      <c r="BQ234" s="25">
        <v>1122649</v>
      </c>
      <c r="BR234" s="24">
        <v>2</v>
      </c>
      <c r="BS234" s="24">
        <v>5</v>
      </c>
      <c r="BT234" s="4">
        <v>1968</v>
      </c>
      <c r="BU234" s="24" t="s">
        <v>163</v>
      </c>
      <c r="BV234" s="4" t="s">
        <v>3900</v>
      </c>
      <c r="BW234" s="4" t="s">
        <v>98</v>
      </c>
      <c r="BX234" s="24" t="s">
        <v>99</v>
      </c>
      <c r="BY234" s="4">
        <v>1311</v>
      </c>
      <c r="BZ234" s="4" t="s">
        <v>100</v>
      </c>
      <c r="CC234" s="4">
        <v>13110101</v>
      </c>
      <c r="CD234" s="4" t="s">
        <v>102</v>
      </c>
      <c r="CG234" s="24">
        <v>211120</v>
      </c>
      <c r="CH234" s="24" t="s">
        <v>104</v>
      </c>
      <c r="CI234" s="24"/>
      <c r="CJ234" s="24"/>
      <c r="CK234" s="19">
        <f>IF(BQ234&gt;0,BQ234,W234)</f>
        <v>1122649</v>
      </c>
      <c r="CL234" s="20">
        <f>IF(BS234&gt;0,BS234,Y234)</f>
        <v>5</v>
      </c>
      <c r="CM234" s="34">
        <f>IF(CG234&gt;0,CG234,AM234)</f>
        <v>211120</v>
      </c>
      <c r="CN234" s="80">
        <f>IF($BH234="",1,COUNTIF($BH$3:$BH234,$BH234))</f>
        <v>1</v>
      </c>
      <c r="CO234" s="33" t="s">
        <v>4386</v>
      </c>
      <c r="CP234" t="str">
        <f>IF($K234="Standard Match","Match",IF($K234="Name Only Match",IF($CO234="Yes","Match","Name Only Match"),"No Match"))</f>
        <v>Match</v>
      </c>
      <c r="CQ234" s="35" t="str">
        <f>IF(AND(CP234="Match",CK234&gt;0,CL234&gt;0),"Y","N")</f>
        <v>Y</v>
      </c>
      <c r="CR234" s="21"/>
      <c r="CS234" t="str">
        <f>IF($CQ234="Y",VLOOKUP($CM234,'SBA Size Standards'!$B$3:$G$57,MATCH('SBA Size Standards'!$G$3,'SBA Size Standards'!$B$3:$G$3,0),FALSE),"")</f>
        <v>Employment</v>
      </c>
      <c r="CT234" s="60" t="str">
        <f>IF(CQ234="Y",IF($CS234="Employment","N/A",VLOOKUP($CM234,'SBA Size Standards'!$B$3:$G$57,MATCH('SBA Size Standards'!$E$3,'SBA Size Standards'!$B$3:$G$3,0),FALSE)),"")</f>
        <v>N/A</v>
      </c>
      <c r="CU234" s="86">
        <f>IF($CQ234="Y",IF($CS234="Revenue","N/A",VLOOKUP($CM234,'SBA Size Standards'!$B$3:$G$57,MATCH('SBA Size Standards'!$F$3,'SBA Size Standards'!$B$3:$G$3,0),FALSE)),"")</f>
        <v>1250</v>
      </c>
      <c r="CV234" t="str">
        <f>IF($CQ234="Y",IF(OR(AND($CS234="Employment",$CL234&lt;$CU234),AND($CS234="Revenue",$CK234&lt;$CT234)),"YES","NO"),"")</f>
        <v>YES</v>
      </c>
      <c r="CW234" s="90" t="str">
        <f>IF($CQ234="Y",INDEX('SBA Size Standards'!$N$3:$N$12,MATCH($CK234,'SBA Size Standards'!$O$3:$O$12,1)),"")</f>
        <v>$1,000,001 - $5,000,000</v>
      </c>
      <c r="CX234" s="122" t="s">
        <v>5066</v>
      </c>
      <c r="CY234" s="122">
        <f>INDEX('NM O&amp;G Production'!$P$3:$P$537,MATCH(CX234,'NM O&amp;G Production'!$Q$3:$Q$537,0))</f>
        <v>256</v>
      </c>
      <c r="CZ234" s="122" t="str">
        <f>INDEX('NM O&amp;G Production'!$O$3:$O$537,MATCH(CY234,'NM O&amp;G Production'!$P$3:$P$537,0))</f>
        <v>Yes</v>
      </c>
      <c r="DA234" s="127">
        <f>INDEX('NM O&amp;G Production'!$K$3:$O$537,MATCH($CY234,'NM O&amp;G Production'!$P$3:$P$537,0),MATCH(DA$2,'NM O&amp;G Production'!$K$2:$O$2,0))</f>
        <v>7</v>
      </c>
      <c r="DB234" s="127">
        <f>INDEX('NM O&amp;G Production'!$K$3:$O$537,MATCH($CY234,'NM O&amp;G Production'!$P$3:$P$537,0),MATCH(DB$2,'NM O&amp;G Production'!$K$2:$O$2,0))</f>
        <v>14</v>
      </c>
      <c r="DC234" s="127">
        <f>DA234+DB234</f>
        <v>21</v>
      </c>
      <c r="DD234" s="127">
        <f>INDEX('NM O&amp;G Production'!$K$3:$O$537,MATCH($CY234,'NM O&amp;G Production'!$P$3:$P$537,0),MATCH(DD$2,'NM O&amp;G Production'!$K$2:$O$2,0))</f>
        <v>11362</v>
      </c>
      <c r="DE234" s="127">
        <f>INDEX('NM O&amp;G Production'!$K$3:$O$537,MATCH($CY234,'NM O&amp;G Production'!$P$3:$P$537,0),MATCH(DE$2,'NM O&amp;G Production'!$K$2:$O$2,0))</f>
        <v>2277</v>
      </c>
      <c r="DF234" s="258">
        <f>CK234/(DB234+DA234)</f>
        <v>53459.476190476191</v>
      </c>
      <c r="DG234" s="57">
        <f>DD234*(12/18)*1.06*'Oil and Gas Prices'!$C$18</f>
        <v>19189.660533333335</v>
      </c>
      <c r="DH234" s="284">
        <f>DE234*(12/18)*'Oil and Gas Prices'!$C$4</f>
        <v>68310</v>
      </c>
      <c r="DI234" s="284">
        <f>DG234+DH234</f>
        <v>87499.660533333343</v>
      </c>
      <c r="DJ234" s="57">
        <f>(DG234+DH234)/(DA234+DB234)</f>
        <v>4166.6505015873017</v>
      </c>
      <c r="DK234" s="320"/>
    </row>
    <row r="235" spans="1:115" x14ac:dyDescent="0.25">
      <c r="A235" t="s">
        <v>1255</v>
      </c>
      <c r="B235" t="s">
        <v>1256</v>
      </c>
      <c r="D235" t="s">
        <v>1257</v>
      </c>
      <c r="E235" t="s">
        <v>80</v>
      </c>
      <c r="F235">
        <v>75710</v>
      </c>
      <c r="G235" t="s">
        <v>62</v>
      </c>
      <c r="I235">
        <v>164</v>
      </c>
      <c r="J235" t="s">
        <v>63</v>
      </c>
      <c r="K235" t="s">
        <v>4133</v>
      </c>
      <c r="L235" t="s">
        <v>419</v>
      </c>
      <c r="M235">
        <v>8</v>
      </c>
      <c r="N235" t="s">
        <v>1258</v>
      </c>
      <c r="O235" t="s">
        <v>1259</v>
      </c>
      <c r="Q235" t="s">
        <v>1260</v>
      </c>
      <c r="R235" t="s">
        <v>1257</v>
      </c>
      <c r="S235" t="s">
        <v>94</v>
      </c>
      <c r="T235" t="s">
        <v>1261</v>
      </c>
      <c r="U235" t="s">
        <v>62</v>
      </c>
      <c r="V235">
        <v>9035923811</v>
      </c>
      <c r="W235" s="1">
        <v>1099404</v>
      </c>
      <c r="X235">
        <v>5</v>
      </c>
      <c r="Y235">
        <v>5</v>
      </c>
      <c r="Z235">
        <v>1975</v>
      </c>
      <c r="AA235" t="s">
        <v>70</v>
      </c>
      <c r="AB235" t="s">
        <v>1262</v>
      </c>
      <c r="AC235" t="s">
        <v>98</v>
      </c>
      <c r="AD235" t="s">
        <v>99</v>
      </c>
      <c r="AE235">
        <v>1311</v>
      </c>
      <c r="AF235" t="s">
        <v>100</v>
      </c>
      <c r="AG235">
        <v>1382</v>
      </c>
      <c r="AH235" t="s">
        <v>120</v>
      </c>
      <c r="AI235">
        <v>13110101</v>
      </c>
      <c r="AJ235" t="s">
        <v>102</v>
      </c>
      <c r="AK235">
        <v>13820000</v>
      </c>
      <c r="AL235" t="s">
        <v>119</v>
      </c>
      <c r="AM235">
        <v>211120</v>
      </c>
      <c r="AN235" t="s">
        <v>104</v>
      </c>
      <c r="AO235">
        <v>213112</v>
      </c>
      <c r="AP235" t="s">
        <v>74</v>
      </c>
      <c r="AQ235" t="s">
        <v>75</v>
      </c>
      <c r="AT235" t="s">
        <v>76</v>
      </c>
      <c r="BF235">
        <v>0</v>
      </c>
      <c r="BG235">
        <v>0</v>
      </c>
      <c r="CK235" s="19">
        <f>IF(BQ235&gt;0,BQ235,W235)</f>
        <v>1099404</v>
      </c>
      <c r="CL235" s="20">
        <f>IF(BS235&gt;0,BS235,Y235)</f>
        <v>5</v>
      </c>
      <c r="CM235" s="34">
        <f>IF(CG235&gt;0,CG235,AM235)</f>
        <v>211120</v>
      </c>
      <c r="CN235" s="80">
        <f>IF($BH235="",1,COUNTIF($BH$3:$BH235,$BH235))</f>
        <v>1</v>
      </c>
      <c r="CP235" t="str">
        <f>IF($K235="Standard Match","Match",IF($K235="Name Only Match",IF($CO235="Yes","Match","Name Only Match"),"No Match"))</f>
        <v>Match</v>
      </c>
      <c r="CQ235" s="35" t="str">
        <f>IF(AND(CP235="Match",CK235&gt;0,CL235&gt;0),"Y","N")</f>
        <v>Y</v>
      </c>
      <c r="CS235" t="str">
        <f>IF($CQ235="Y",VLOOKUP($CM235,'SBA Size Standards'!$B$3:$G$57,MATCH('SBA Size Standards'!$G$3,'SBA Size Standards'!$B$3:$G$3,0),FALSE),"")</f>
        <v>Employment</v>
      </c>
      <c r="CT235" s="60" t="str">
        <f>IF(CQ235="Y",IF($CS235="Employment","N/A",VLOOKUP($CM235,'SBA Size Standards'!$B$3:$G$57,MATCH('SBA Size Standards'!$E$3,'SBA Size Standards'!$B$3:$G$3,0),FALSE)),"")</f>
        <v>N/A</v>
      </c>
      <c r="CU235" s="86">
        <f>IF($CQ235="Y",IF($CS235="Revenue","N/A",VLOOKUP($CM235,'SBA Size Standards'!$B$3:$G$57,MATCH('SBA Size Standards'!$F$3,'SBA Size Standards'!$B$3:$G$3,0),FALSE)),"")</f>
        <v>1250</v>
      </c>
      <c r="CV235" t="str">
        <f>IF($CQ235="Y",IF(OR(AND($CS235="Employment",$CL235&lt;$CU235),AND($CS235="Revenue",$CK235&lt;$CT235)),"YES","NO"),"")</f>
        <v>YES</v>
      </c>
      <c r="CW235" s="90" t="str">
        <f>IF($CQ235="Y",INDEX('SBA Size Standards'!$N$3:$N$12,MATCH($CK235,'SBA Size Standards'!$O$3:$O$12,1)),"")</f>
        <v>$1,000,001 - $5,000,000</v>
      </c>
      <c r="CX235" s="122" t="s">
        <v>4843</v>
      </c>
      <c r="CY235" s="122">
        <f>INDEX('NM O&amp;G Production'!$P$3:$P$537,MATCH(CX235,'NM O&amp;G Production'!$Q$3:$Q$537,0))</f>
        <v>164</v>
      </c>
      <c r="CZ235" s="122" t="str">
        <f>INDEX('NM O&amp;G Production'!$O$3:$O$537,MATCH(CY235,'NM O&amp;G Production'!$P$3:$P$537,0))</f>
        <v>Yes</v>
      </c>
      <c r="DA235" s="127">
        <f>INDEX('NM O&amp;G Production'!$K$3:$O$537,MATCH($CY235,'NM O&amp;G Production'!$P$3:$P$537,0),MATCH(DA$2,'NM O&amp;G Production'!$K$2:$O$2,0))</f>
        <v>3</v>
      </c>
      <c r="DB235" s="127">
        <f>INDEX('NM O&amp;G Production'!$K$3:$O$537,MATCH($CY235,'NM O&amp;G Production'!$P$3:$P$537,0),MATCH(DB$2,'NM O&amp;G Production'!$K$2:$O$2,0))</f>
        <v>1</v>
      </c>
      <c r="DC235" s="127">
        <f>DA235+DB235</f>
        <v>4</v>
      </c>
      <c r="DD235" s="127">
        <f>INDEX('NM O&amp;G Production'!$K$3:$O$537,MATCH($CY235,'NM O&amp;G Production'!$P$3:$P$537,0),MATCH(DD$2,'NM O&amp;G Production'!$K$2:$O$2,0))</f>
        <v>154126</v>
      </c>
      <c r="DE235" s="127">
        <f>INDEX('NM O&amp;G Production'!$K$3:$O$537,MATCH($CY235,'NM O&amp;G Production'!$P$3:$P$537,0),MATCH(DE$2,'NM O&amp;G Production'!$K$2:$O$2,0))</f>
        <v>34143</v>
      </c>
      <c r="DF235" s="258">
        <f>CK235/(DB235+DA235)</f>
        <v>274851</v>
      </c>
      <c r="DG235" s="57">
        <f>DD235*(12/18)*1.06*'Oil and Gas Prices'!$C$18</f>
        <v>260308.53893333333</v>
      </c>
      <c r="DH235" s="284">
        <f>DE235*(12/18)*'Oil and Gas Prices'!$C$4</f>
        <v>1024290</v>
      </c>
      <c r="DI235" s="284">
        <f>DG235+DH235</f>
        <v>1284598.5389333332</v>
      </c>
      <c r="DJ235" s="57">
        <f>(DG235+DH235)/(DA235+DB235)</f>
        <v>321149.63473333331</v>
      </c>
      <c r="DK235" s="319"/>
    </row>
    <row r="236" spans="1:115" x14ac:dyDescent="0.25">
      <c r="A236" t="s">
        <v>2812</v>
      </c>
      <c r="B236" t="s">
        <v>87</v>
      </c>
      <c r="D236" t="s">
        <v>148</v>
      </c>
      <c r="E236" t="s">
        <v>80</v>
      </c>
      <c r="F236">
        <v>76116</v>
      </c>
      <c r="G236" t="s">
        <v>62</v>
      </c>
      <c r="I236">
        <v>408</v>
      </c>
      <c r="J236" t="s">
        <v>63</v>
      </c>
      <c r="K236" t="s">
        <v>4133</v>
      </c>
      <c r="L236" t="s">
        <v>64</v>
      </c>
      <c r="M236">
        <v>10</v>
      </c>
      <c r="N236" t="s">
        <v>2813</v>
      </c>
      <c r="O236" t="s">
        <v>2814</v>
      </c>
      <c r="Q236" t="s">
        <v>2815</v>
      </c>
      <c r="R236" t="s">
        <v>88</v>
      </c>
      <c r="S236" t="s">
        <v>94</v>
      </c>
      <c r="T236" t="s">
        <v>2816</v>
      </c>
      <c r="U236" t="s">
        <v>62</v>
      </c>
      <c r="V236">
        <v>8177329383</v>
      </c>
      <c r="W236" s="1">
        <v>1078721</v>
      </c>
      <c r="X236">
        <v>8</v>
      </c>
      <c r="Y236">
        <v>8</v>
      </c>
      <c r="Z236">
        <v>1979</v>
      </c>
      <c r="AA236" t="s">
        <v>70</v>
      </c>
      <c r="AB236" t="s">
        <v>2817</v>
      </c>
      <c r="AC236" t="s">
        <v>98</v>
      </c>
      <c r="AD236" t="s">
        <v>99</v>
      </c>
      <c r="AE236">
        <v>1311</v>
      </c>
      <c r="AF236" t="s">
        <v>100</v>
      </c>
      <c r="AI236">
        <v>13110101</v>
      </c>
      <c r="AJ236" t="s">
        <v>102</v>
      </c>
      <c r="AM236">
        <v>211120</v>
      </c>
      <c r="AN236" t="s">
        <v>104</v>
      </c>
      <c r="AQ236" t="s">
        <v>75</v>
      </c>
      <c r="AT236" t="s">
        <v>76</v>
      </c>
      <c r="BF236">
        <v>0</v>
      </c>
      <c r="BG236">
        <v>0</v>
      </c>
      <c r="CK236" s="19">
        <f>IF(BQ236&gt;0,BQ236,W236)</f>
        <v>1078721</v>
      </c>
      <c r="CL236" s="20">
        <f>IF(BS236&gt;0,BS236,Y236)</f>
        <v>8</v>
      </c>
      <c r="CM236" s="34">
        <f>IF(CG236&gt;0,CG236,AM236)</f>
        <v>211120</v>
      </c>
      <c r="CN236" s="80">
        <f>IF($BH236="",1,COUNTIF($BH$3:$BH236,$BH236))</f>
        <v>1</v>
      </c>
      <c r="CP236" t="str">
        <f>IF($K236="Standard Match","Match",IF($K236="Name Only Match",IF($CO236="Yes","Match","Name Only Match"),"No Match"))</f>
        <v>Match</v>
      </c>
      <c r="CQ236" s="35" t="str">
        <f>IF(AND(CP236="Match",CK236&gt;0,CL236&gt;0),"Y","N")</f>
        <v>Y</v>
      </c>
      <c r="CS236" t="str">
        <f>IF($CQ236="Y",VLOOKUP($CM236,'SBA Size Standards'!$B$3:$G$57,MATCH('SBA Size Standards'!$G$3,'SBA Size Standards'!$B$3:$G$3,0),FALSE),"")</f>
        <v>Employment</v>
      </c>
      <c r="CT236" s="60" t="str">
        <f>IF(CQ236="Y",IF($CS236="Employment","N/A",VLOOKUP($CM236,'SBA Size Standards'!$B$3:$G$57,MATCH('SBA Size Standards'!$E$3,'SBA Size Standards'!$B$3:$G$3,0),FALSE)),"")</f>
        <v>N/A</v>
      </c>
      <c r="CU236" s="86">
        <f>IF($CQ236="Y",IF($CS236="Revenue","N/A",VLOOKUP($CM236,'SBA Size Standards'!$B$3:$G$57,MATCH('SBA Size Standards'!$F$3,'SBA Size Standards'!$B$3:$G$3,0),FALSE)),"")</f>
        <v>1250</v>
      </c>
      <c r="CV236" t="str">
        <f>IF($CQ236="Y",IF(OR(AND($CS236="Employment",$CL236&lt;$CU236),AND($CS236="Revenue",$CK236&lt;$CT236)),"YES","NO"),"")</f>
        <v>YES</v>
      </c>
      <c r="CW236" s="90" t="str">
        <f>IF($CQ236="Y",INDEX('SBA Size Standards'!$N$3:$N$12,MATCH($CK236,'SBA Size Standards'!$O$3:$O$12,1)),"")</f>
        <v>$1,000,001 - $5,000,000</v>
      </c>
      <c r="CX236" s="122" t="s">
        <v>4730</v>
      </c>
      <c r="CY236" s="122">
        <f>INDEX('NM O&amp;G Production'!$P$3:$P$537,MATCH(CX236,'NM O&amp;G Production'!$Q$3:$Q$537,0))</f>
        <v>408</v>
      </c>
      <c r="CZ236" s="122" t="str">
        <f>INDEX('NM O&amp;G Production'!$O$3:$O$537,MATCH(CY236,'NM O&amp;G Production'!$P$3:$P$537,0))</f>
        <v>Yes</v>
      </c>
      <c r="DA236" s="127">
        <f>INDEX('NM O&amp;G Production'!$K$3:$O$537,MATCH($CY236,'NM O&amp;G Production'!$P$3:$P$537,0),MATCH(DA$2,'NM O&amp;G Production'!$K$2:$O$2,0))</f>
        <v>0</v>
      </c>
      <c r="DB236" s="127">
        <f>INDEX('NM O&amp;G Production'!$K$3:$O$537,MATCH($CY236,'NM O&amp;G Production'!$P$3:$P$537,0),MATCH(DB$2,'NM O&amp;G Production'!$K$2:$O$2,0))</f>
        <v>2</v>
      </c>
      <c r="DC236" s="127">
        <f>DA236+DB236</f>
        <v>2</v>
      </c>
      <c r="DD236" s="127">
        <f>INDEX('NM O&amp;G Production'!$K$3:$O$537,MATCH($CY236,'NM O&amp;G Production'!$P$3:$P$537,0),MATCH(DD$2,'NM O&amp;G Production'!$K$2:$O$2,0))</f>
        <v>5573</v>
      </c>
      <c r="DE236" s="127">
        <f>INDEX('NM O&amp;G Production'!$K$3:$O$537,MATCH($CY236,'NM O&amp;G Production'!$P$3:$P$537,0),MATCH(DE$2,'NM O&amp;G Production'!$K$2:$O$2,0))</f>
        <v>1768</v>
      </c>
      <c r="DF236" s="258">
        <f>CK236/(DB236+DA236)</f>
        <v>539360.5</v>
      </c>
      <c r="DG236" s="57">
        <f>DD236*(12/18)*1.06*'Oil and Gas Prices'!$C$18</f>
        <v>9412.4254666666675</v>
      </c>
      <c r="DH236" s="284">
        <f>DE236*(12/18)*'Oil and Gas Prices'!$C$4</f>
        <v>53039.999999999993</v>
      </c>
      <c r="DI236" s="284">
        <f>DG236+DH236</f>
        <v>62452.42546666666</v>
      </c>
      <c r="DJ236" s="57">
        <f>(DG236+DH236)/(DA236+DB236)</f>
        <v>31226.21273333333</v>
      </c>
      <c r="DK236" s="319"/>
    </row>
    <row r="237" spans="1:115" x14ac:dyDescent="0.25">
      <c r="A237" t="s">
        <v>1920</v>
      </c>
      <c r="B237" t="s">
        <v>1921</v>
      </c>
      <c r="D237" t="s">
        <v>112</v>
      </c>
      <c r="E237" t="s">
        <v>80</v>
      </c>
      <c r="F237">
        <v>77063</v>
      </c>
      <c r="G237" t="s">
        <v>62</v>
      </c>
      <c r="I237">
        <v>265</v>
      </c>
      <c r="J237" t="s">
        <v>63</v>
      </c>
      <c r="K237" t="s">
        <v>4133</v>
      </c>
      <c r="L237" t="s">
        <v>64</v>
      </c>
      <c r="M237">
        <v>10</v>
      </c>
      <c r="N237" t="s">
        <v>1922</v>
      </c>
      <c r="O237" t="s">
        <v>1923</v>
      </c>
      <c r="Q237" t="s">
        <v>1924</v>
      </c>
      <c r="R237" t="s">
        <v>112</v>
      </c>
      <c r="S237" t="s">
        <v>94</v>
      </c>
      <c r="T237" t="s">
        <v>1925</v>
      </c>
      <c r="U237" t="s">
        <v>62</v>
      </c>
      <c r="V237">
        <v>7138401905</v>
      </c>
      <c r="W237" s="1">
        <v>1066083</v>
      </c>
      <c r="X237">
        <v>4</v>
      </c>
      <c r="Y237">
        <v>4</v>
      </c>
      <c r="Z237">
        <v>1967</v>
      </c>
      <c r="AA237" t="s">
        <v>70</v>
      </c>
      <c r="AB237" t="s">
        <v>1926</v>
      </c>
      <c r="AC237" t="s">
        <v>98</v>
      </c>
      <c r="AD237" t="s">
        <v>99</v>
      </c>
      <c r="AE237">
        <v>1311</v>
      </c>
      <c r="AF237" t="s">
        <v>100</v>
      </c>
      <c r="AI237">
        <v>13110101</v>
      </c>
      <c r="AJ237" t="s">
        <v>102</v>
      </c>
      <c r="AM237">
        <v>211120</v>
      </c>
      <c r="AN237" t="s">
        <v>104</v>
      </c>
      <c r="AQ237" t="s">
        <v>75</v>
      </c>
      <c r="AT237" t="s">
        <v>76</v>
      </c>
      <c r="BF237">
        <v>0</v>
      </c>
      <c r="BG237">
        <v>0</v>
      </c>
      <c r="CK237" s="19">
        <f>IF(BQ237&gt;0,BQ237,W237)</f>
        <v>1066083</v>
      </c>
      <c r="CL237" s="20">
        <f>IF(BS237&gt;0,BS237,Y237)</f>
        <v>4</v>
      </c>
      <c r="CM237" s="34">
        <f>IF(CG237&gt;0,CG237,AM237)</f>
        <v>211120</v>
      </c>
      <c r="CN237" s="80">
        <f>IF($BH237="",1,COUNTIF($BH$3:$BH237,$BH237))</f>
        <v>1</v>
      </c>
      <c r="CP237" t="str">
        <f>IF($K237="Standard Match","Match",IF($K237="Name Only Match",IF($CO237="Yes","Match","Name Only Match"),"No Match"))</f>
        <v>Match</v>
      </c>
      <c r="CQ237" s="35" t="str">
        <f>IF(AND(CP237="Match",CK237&gt;0,CL237&gt;0),"Y","N")</f>
        <v>Y</v>
      </c>
      <c r="CS237" t="str">
        <f>IF($CQ237="Y",VLOOKUP($CM237,'SBA Size Standards'!$B$3:$G$57,MATCH('SBA Size Standards'!$G$3,'SBA Size Standards'!$B$3:$G$3,0),FALSE),"")</f>
        <v>Employment</v>
      </c>
      <c r="CT237" s="60" t="str">
        <f>IF(CQ237="Y",IF($CS237="Employment","N/A",VLOOKUP($CM237,'SBA Size Standards'!$B$3:$G$57,MATCH('SBA Size Standards'!$E$3,'SBA Size Standards'!$B$3:$G$3,0),FALSE)),"")</f>
        <v>N/A</v>
      </c>
      <c r="CU237" s="86">
        <f>IF($CQ237="Y",IF($CS237="Revenue","N/A",VLOOKUP($CM237,'SBA Size Standards'!$B$3:$G$57,MATCH('SBA Size Standards'!$F$3,'SBA Size Standards'!$B$3:$G$3,0),FALSE)),"")</f>
        <v>1250</v>
      </c>
      <c r="CV237" t="str">
        <f>IF($CQ237="Y",IF(OR(AND($CS237="Employment",$CL237&lt;$CU237),AND($CS237="Revenue",$CK237&lt;$CT237)),"YES","NO"),"")</f>
        <v>YES</v>
      </c>
      <c r="CW237" s="90" t="str">
        <f>IF($CQ237="Y",INDEX('SBA Size Standards'!$N$3:$N$12,MATCH($CK237,'SBA Size Standards'!$O$3:$O$12,1)),"")</f>
        <v>$1,000,001 - $5,000,000</v>
      </c>
      <c r="CX237" s="122" t="s">
        <v>4660</v>
      </c>
      <c r="CY237" s="122">
        <f>INDEX('NM O&amp;G Production'!$P$3:$P$537,MATCH(CX237,'NM O&amp;G Production'!$Q$3:$Q$537,0))</f>
        <v>265</v>
      </c>
      <c r="CZ237" s="122" t="str">
        <f>INDEX('NM O&amp;G Production'!$O$3:$O$537,MATCH(CY237,'NM O&amp;G Production'!$P$3:$P$537,0))</f>
        <v>Yes</v>
      </c>
      <c r="DA237" s="127">
        <f>INDEX('NM O&amp;G Production'!$K$3:$O$537,MATCH($CY237,'NM O&amp;G Production'!$P$3:$P$537,0),MATCH(DA$2,'NM O&amp;G Production'!$K$2:$O$2,0))</f>
        <v>1</v>
      </c>
      <c r="DB237" s="127">
        <f>INDEX('NM O&amp;G Production'!$K$3:$O$537,MATCH($CY237,'NM O&amp;G Production'!$P$3:$P$537,0),MATCH(DB$2,'NM O&amp;G Production'!$K$2:$O$2,0))</f>
        <v>21</v>
      </c>
      <c r="DC237" s="127">
        <f>DA237+DB237</f>
        <v>22</v>
      </c>
      <c r="DD237" s="127">
        <f>INDEX('NM O&amp;G Production'!$K$3:$O$537,MATCH($CY237,'NM O&amp;G Production'!$P$3:$P$537,0),MATCH(DD$2,'NM O&amp;G Production'!$K$2:$O$2,0))</f>
        <v>284677</v>
      </c>
      <c r="DE237" s="127">
        <f>INDEX('NM O&amp;G Production'!$K$3:$O$537,MATCH($CY237,'NM O&amp;G Production'!$P$3:$P$537,0),MATCH(DE$2,'NM O&amp;G Production'!$K$2:$O$2,0))</f>
        <v>251</v>
      </c>
      <c r="DF237" s="258">
        <f>CK237/(DB237+DA237)</f>
        <v>48458.318181818184</v>
      </c>
      <c r="DG237" s="57">
        <f>DD237*(12/18)*1.06*'Oil and Gas Prices'!$C$18</f>
        <v>480800.47453333338</v>
      </c>
      <c r="DH237" s="284">
        <f>DE237*(12/18)*'Oil and Gas Prices'!$C$4</f>
        <v>7529.9999999999991</v>
      </c>
      <c r="DI237" s="284">
        <f>DG237+DH237</f>
        <v>488330.47453333338</v>
      </c>
      <c r="DJ237" s="57">
        <f>(DG237+DH237)/(DA237+DB237)</f>
        <v>22196.839751515156</v>
      </c>
      <c r="DK237" s="318"/>
    </row>
    <row r="238" spans="1:115" x14ac:dyDescent="0.25">
      <c r="A238" t="s">
        <v>1209</v>
      </c>
      <c r="B238" t="s">
        <v>1102</v>
      </c>
      <c r="D238" t="s">
        <v>378</v>
      </c>
      <c r="E238" t="s">
        <v>80</v>
      </c>
      <c r="F238">
        <v>75225</v>
      </c>
      <c r="G238" t="s">
        <v>62</v>
      </c>
      <c r="I238">
        <v>158</v>
      </c>
      <c r="J238" t="s">
        <v>63</v>
      </c>
      <c r="K238" t="s">
        <v>4133</v>
      </c>
      <c r="L238" t="s">
        <v>113</v>
      </c>
      <c r="M238">
        <v>8</v>
      </c>
      <c r="N238" t="s">
        <v>1210</v>
      </c>
      <c r="O238" t="s">
        <v>1211</v>
      </c>
      <c r="Q238" t="s">
        <v>1212</v>
      </c>
      <c r="R238" t="s">
        <v>378</v>
      </c>
      <c r="S238" t="s">
        <v>94</v>
      </c>
      <c r="T238" t="s">
        <v>1213</v>
      </c>
      <c r="U238" t="s">
        <v>62</v>
      </c>
      <c r="V238">
        <v>2104036402</v>
      </c>
      <c r="W238" s="1">
        <v>1061160</v>
      </c>
      <c r="X238">
        <v>30</v>
      </c>
      <c r="Y238">
        <v>30</v>
      </c>
      <c r="Z238">
        <v>1997</v>
      </c>
      <c r="AA238" t="s">
        <v>70</v>
      </c>
      <c r="AB238" t="s">
        <v>1214</v>
      </c>
      <c r="AC238" t="s">
        <v>242</v>
      </c>
      <c r="AD238" t="s">
        <v>71</v>
      </c>
      <c r="AE238">
        <v>1389</v>
      </c>
      <c r="AF238" t="s">
        <v>72</v>
      </c>
      <c r="AG238">
        <v>1382</v>
      </c>
      <c r="AH238" t="s">
        <v>120</v>
      </c>
      <c r="AI238">
        <v>13899904</v>
      </c>
      <c r="AJ238" t="s">
        <v>201</v>
      </c>
      <c r="AK238">
        <v>13820000</v>
      </c>
      <c r="AL238" t="s">
        <v>119</v>
      </c>
      <c r="AM238">
        <v>213112</v>
      </c>
      <c r="AN238" t="s">
        <v>74</v>
      </c>
      <c r="AO238">
        <v>213112</v>
      </c>
      <c r="AP238" t="s">
        <v>74</v>
      </c>
      <c r="AQ238" t="s">
        <v>75</v>
      </c>
      <c r="AT238" t="s">
        <v>76</v>
      </c>
      <c r="BF238">
        <v>0</v>
      </c>
      <c r="BG238">
        <v>0</v>
      </c>
      <c r="CK238" s="19">
        <f>IF(BQ238&gt;0,BQ238,W238)</f>
        <v>1061160</v>
      </c>
      <c r="CL238" s="20">
        <f>IF(BS238&gt;0,BS238,Y238)</f>
        <v>30</v>
      </c>
      <c r="CM238" s="34">
        <f>IF(CG238&gt;0,CG238,AM238)</f>
        <v>213112</v>
      </c>
      <c r="CN238" s="80">
        <f>IF($BH238="",1,COUNTIF($BH$3:$BH238,$BH238))</f>
        <v>1</v>
      </c>
      <c r="CP238" t="str">
        <f>IF($K238="Standard Match","Match",IF($K238="Name Only Match",IF($CO238="Yes","Match","Name Only Match"),"No Match"))</f>
        <v>Match</v>
      </c>
      <c r="CQ238" s="35" t="str">
        <f>IF(AND(CP238="Match",CK238&gt;0,CL238&gt;0),"Y","N")</f>
        <v>Y</v>
      </c>
      <c r="CS238" t="str">
        <f>IF($CQ238="Y",VLOOKUP($CM238,'SBA Size Standards'!$B$3:$G$57,MATCH('SBA Size Standards'!$G$3,'SBA Size Standards'!$B$3:$G$3,0),FALSE),"")</f>
        <v>Revenue</v>
      </c>
      <c r="CT238" s="60">
        <f>IF(CQ238="Y",IF($CS238="Employment","N/A",VLOOKUP($CM238,'SBA Size Standards'!$B$3:$G$57,MATCH('SBA Size Standards'!$E$3,'SBA Size Standards'!$B$3:$G$3,0),FALSE)),"")</f>
        <v>41500000</v>
      </c>
      <c r="CU238" s="86" t="str">
        <f>IF($CQ238="Y",IF($CS238="Revenue","N/A",VLOOKUP($CM238,'SBA Size Standards'!$B$3:$G$57,MATCH('SBA Size Standards'!$F$3,'SBA Size Standards'!$B$3:$G$3,0),FALSE)),"")</f>
        <v>N/A</v>
      </c>
      <c r="CV238" t="str">
        <f>IF($CQ238="Y",IF(OR(AND($CS238="Employment",$CL238&lt;$CU238),AND($CS238="Revenue",$CK238&lt;$CT238)),"YES","NO"),"")</f>
        <v>YES</v>
      </c>
      <c r="CW238" s="90" t="str">
        <f>IF($CQ238="Y",INDEX('SBA Size Standards'!$N$3:$N$12,MATCH($CK238,'SBA Size Standards'!$O$3:$O$12,1)),"")</f>
        <v>$1,000,001 - $5,000,000</v>
      </c>
      <c r="CX238" s="122" t="s">
        <v>4841</v>
      </c>
      <c r="CY238" s="122">
        <f>INDEX('NM O&amp;G Production'!$P$3:$P$537,MATCH(CX238,'NM O&amp;G Production'!$Q$3:$Q$537,0))</f>
        <v>158</v>
      </c>
      <c r="CZ238" s="122" t="str">
        <f>INDEX('NM O&amp;G Production'!$O$3:$O$537,MATCH(CY238,'NM O&amp;G Production'!$P$3:$P$537,0))</f>
        <v>No</v>
      </c>
      <c r="DA238" s="127">
        <f>INDEX('NM O&amp;G Production'!$K$3:$O$537,MATCH($CY238,'NM O&amp;G Production'!$P$3:$P$537,0),MATCH(DA$2,'NM O&amp;G Production'!$K$2:$O$2,0))</f>
        <v>0</v>
      </c>
      <c r="DB238" s="127">
        <f>INDEX('NM O&amp;G Production'!$K$3:$O$537,MATCH($CY238,'NM O&amp;G Production'!$P$3:$P$537,0),MATCH(DB$2,'NM O&amp;G Production'!$K$2:$O$2,0))</f>
        <v>0</v>
      </c>
      <c r="DC238" s="127"/>
      <c r="DD238" s="127">
        <f>INDEX('NM O&amp;G Production'!$K$3:$O$537,MATCH($CY238,'NM O&amp;G Production'!$P$3:$P$537,0),MATCH(DD$2,'NM O&amp;G Production'!$K$2:$O$2,0))</f>
        <v>0</v>
      </c>
      <c r="DE238" s="127">
        <f>INDEX('NM O&amp;G Production'!$K$3:$O$537,MATCH($CY238,'NM O&amp;G Production'!$P$3:$P$537,0),MATCH(DE$2,'NM O&amp;G Production'!$K$2:$O$2,0))</f>
        <v>0</v>
      </c>
      <c r="DF238" s="258" t="e">
        <f>CK238/(DB238+DA238)</f>
        <v>#DIV/0!</v>
      </c>
      <c r="DG238" s="57">
        <f>DD238*(12/18)*1.06*'Oil and Gas Prices'!$C$18</f>
        <v>0</v>
      </c>
      <c r="DH238" s="284">
        <f>DE238*(12/18)*'Oil and Gas Prices'!$C$4</f>
        <v>0</v>
      </c>
      <c r="DI238" s="284"/>
      <c r="DJ238" s="57" t="e">
        <f>(DG238+DH238)/(DA238+DB238)</f>
        <v>#DIV/0!</v>
      </c>
      <c r="DK238" s="18" t="e">
        <f>CK238/DI238</f>
        <v>#DIV/0!</v>
      </c>
    </row>
    <row r="239" spans="1:115" x14ac:dyDescent="0.25">
      <c r="A239" t="s">
        <v>1912</v>
      </c>
      <c r="B239" t="s">
        <v>1913</v>
      </c>
      <c r="D239" t="s">
        <v>126</v>
      </c>
      <c r="E239" t="s">
        <v>80</v>
      </c>
      <c r="F239">
        <v>78703</v>
      </c>
      <c r="G239" t="s">
        <v>62</v>
      </c>
      <c r="I239">
        <v>264</v>
      </c>
      <c r="J239" t="s">
        <v>63</v>
      </c>
      <c r="K239" t="s">
        <v>4133</v>
      </c>
      <c r="L239" t="s">
        <v>113</v>
      </c>
      <c r="M239">
        <v>8</v>
      </c>
      <c r="N239" t="s">
        <v>1914</v>
      </c>
      <c r="O239" t="s">
        <v>1915</v>
      </c>
      <c r="Q239" t="s">
        <v>1916</v>
      </c>
      <c r="R239" t="s">
        <v>126</v>
      </c>
      <c r="S239" t="s">
        <v>94</v>
      </c>
      <c r="T239" t="s">
        <v>1917</v>
      </c>
      <c r="U239" t="s">
        <v>62</v>
      </c>
      <c r="V239">
        <v>5125208078</v>
      </c>
      <c r="W239" s="1">
        <v>1038732</v>
      </c>
      <c r="X239">
        <v>10</v>
      </c>
      <c r="Y239">
        <v>10</v>
      </c>
      <c r="Z239">
        <v>2013</v>
      </c>
      <c r="AA239" t="s">
        <v>70</v>
      </c>
      <c r="AB239" t="s">
        <v>1918</v>
      </c>
      <c r="AC239" t="s">
        <v>231</v>
      </c>
      <c r="AD239" t="s">
        <v>352</v>
      </c>
      <c r="AE239">
        <v>6531</v>
      </c>
      <c r="AF239" t="s">
        <v>353</v>
      </c>
      <c r="AI239">
        <v>65310104</v>
      </c>
      <c r="AJ239" t="s">
        <v>1919</v>
      </c>
      <c r="AM239">
        <v>531210</v>
      </c>
      <c r="AN239" t="s">
        <v>354</v>
      </c>
      <c r="AQ239" t="s">
        <v>75</v>
      </c>
      <c r="AT239" t="s">
        <v>76</v>
      </c>
      <c r="BF239">
        <v>0</v>
      </c>
      <c r="BG239">
        <v>0</v>
      </c>
      <c r="CK239" s="19">
        <f>IF(BQ239&gt;0,BQ239,W239)</f>
        <v>1038732</v>
      </c>
      <c r="CL239" s="20">
        <f>IF(BS239&gt;0,BS239,Y239)</f>
        <v>10</v>
      </c>
      <c r="CM239" s="34">
        <f>IF(CG239&gt;0,CG239,AM239)</f>
        <v>531210</v>
      </c>
      <c r="CN239" s="80">
        <f>IF($BH239="",1,COUNTIF($BH$3:$BH239,$BH239))</f>
        <v>1</v>
      </c>
      <c r="CP239" t="str">
        <f>IF($K239="Standard Match","Match",IF($K239="Name Only Match",IF($CO239="Yes","Match","Name Only Match"),"No Match"))</f>
        <v>Match</v>
      </c>
      <c r="CQ239" s="35" t="str">
        <f>IF(AND(CP239="Match",CK239&gt;0,CL239&gt;0),"Y","N")</f>
        <v>Y</v>
      </c>
      <c r="CS239" t="str">
        <f>IF($CQ239="Y",VLOOKUP($CM239,'SBA Size Standards'!$B$3:$G$57,MATCH('SBA Size Standards'!$G$3,'SBA Size Standards'!$B$3:$G$3,0),FALSE),"")</f>
        <v>Revenue</v>
      </c>
      <c r="CT239" s="60">
        <f>IF(CQ239="Y",IF($CS239="Employment","N/A",VLOOKUP($CM239,'SBA Size Standards'!$B$3:$G$57,MATCH('SBA Size Standards'!$E$3,'SBA Size Standards'!$B$3:$G$3,0),FALSE)),"")</f>
        <v>8000000</v>
      </c>
      <c r="CU239" s="86" t="str">
        <f>IF($CQ239="Y",IF($CS239="Revenue","N/A",VLOOKUP($CM239,'SBA Size Standards'!$B$3:$G$57,MATCH('SBA Size Standards'!$F$3,'SBA Size Standards'!$B$3:$G$3,0),FALSE)),"")</f>
        <v>N/A</v>
      </c>
      <c r="CV239" t="str">
        <f>IF($CQ239="Y",IF(OR(AND($CS239="Employment",$CL239&lt;$CU239),AND($CS239="Revenue",$CK239&lt;$CT239)),"YES","NO"),"")</f>
        <v>YES</v>
      </c>
      <c r="CW239" s="90" t="str">
        <f>IF($CQ239="Y",INDEX('SBA Size Standards'!$N$3:$N$12,MATCH($CK239,'SBA Size Standards'!$O$3:$O$12,1)),"")</f>
        <v>$1,000,001 - $5,000,000</v>
      </c>
      <c r="CX239" s="122" t="s">
        <v>4860</v>
      </c>
      <c r="CY239" s="122">
        <f>INDEX('NM O&amp;G Production'!$P$3:$P$537,MATCH(CX239,'NM O&amp;G Production'!$Q$3:$Q$537,0))</f>
        <v>264</v>
      </c>
      <c r="CZ239" s="122" t="str">
        <f>INDEX('NM O&amp;G Production'!$O$3:$O$537,MATCH(CY239,'NM O&amp;G Production'!$P$3:$P$537,0))</f>
        <v>Yes</v>
      </c>
      <c r="DA239" s="127">
        <f>INDEX('NM O&amp;G Production'!$K$3:$O$537,MATCH($CY239,'NM O&amp;G Production'!$P$3:$P$537,0),MATCH(DA$2,'NM O&amp;G Production'!$K$2:$O$2,0))</f>
        <v>0</v>
      </c>
      <c r="DB239" s="127">
        <f>INDEX('NM O&amp;G Production'!$K$3:$O$537,MATCH($CY239,'NM O&amp;G Production'!$P$3:$P$537,0),MATCH(DB$2,'NM O&amp;G Production'!$K$2:$O$2,0))</f>
        <v>4</v>
      </c>
      <c r="DC239" s="127">
        <f>DA239+DB239</f>
        <v>4</v>
      </c>
      <c r="DD239" s="127">
        <f>INDEX('NM O&amp;G Production'!$K$3:$O$537,MATCH($CY239,'NM O&amp;G Production'!$P$3:$P$537,0),MATCH(DD$2,'NM O&amp;G Production'!$K$2:$O$2,0))</f>
        <v>19595</v>
      </c>
      <c r="DE239" s="127">
        <f>INDEX('NM O&amp;G Production'!$K$3:$O$537,MATCH($CY239,'NM O&amp;G Production'!$P$3:$P$537,0),MATCH(DE$2,'NM O&amp;G Production'!$K$2:$O$2,0))</f>
        <v>1656</v>
      </c>
      <c r="DF239" s="258">
        <f>CK239/(DB239+DA239)</f>
        <v>259683</v>
      </c>
      <c r="DG239" s="57">
        <f>DD239*(12/18)*1.06*'Oil and Gas Prices'!$C$18</f>
        <v>33094.648666666668</v>
      </c>
      <c r="DH239" s="284">
        <f>DE239*(12/18)*'Oil and Gas Prices'!$C$4</f>
        <v>49680</v>
      </c>
      <c r="DI239" s="284">
        <f>DG239+DH239</f>
        <v>82774.648666666675</v>
      </c>
      <c r="DJ239" s="57">
        <f>(DG239+DH239)/(DA239+DB239)</f>
        <v>20693.662166666669</v>
      </c>
      <c r="DK239" s="319"/>
    </row>
    <row r="240" spans="1:115" x14ac:dyDescent="0.25">
      <c r="A240" t="s">
        <v>2805</v>
      </c>
      <c r="B240" t="s">
        <v>2806</v>
      </c>
      <c r="D240" t="s">
        <v>153</v>
      </c>
      <c r="E240" t="s">
        <v>80</v>
      </c>
      <c r="F240">
        <v>79701</v>
      </c>
      <c r="G240" t="s">
        <v>62</v>
      </c>
      <c r="I240">
        <v>407</v>
      </c>
      <c r="J240" t="s">
        <v>63</v>
      </c>
      <c r="K240" t="s">
        <v>4133</v>
      </c>
      <c r="L240" t="s">
        <v>64</v>
      </c>
      <c r="M240">
        <v>10</v>
      </c>
      <c r="N240" t="s">
        <v>2807</v>
      </c>
      <c r="O240" t="s">
        <v>2808</v>
      </c>
      <c r="Q240" t="s">
        <v>2809</v>
      </c>
      <c r="R240" t="s">
        <v>153</v>
      </c>
      <c r="S240" t="s">
        <v>94</v>
      </c>
      <c r="T240" t="s">
        <v>2810</v>
      </c>
      <c r="U240" t="s">
        <v>62</v>
      </c>
      <c r="V240">
        <v>4326875100</v>
      </c>
      <c r="W240" s="1">
        <v>1022412</v>
      </c>
      <c r="X240">
        <v>6</v>
      </c>
      <c r="Y240">
        <v>6</v>
      </c>
      <c r="Z240">
        <v>2000</v>
      </c>
      <c r="AA240" t="s">
        <v>70</v>
      </c>
      <c r="AB240" t="s">
        <v>2811</v>
      </c>
      <c r="AC240" t="s">
        <v>145</v>
      </c>
      <c r="AD240" t="s">
        <v>119</v>
      </c>
      <c r="AE240">
        <v>1382</v>
      </c>
      <c r="AF240" t="s">
        <v>120</v>
      </c>
      <c r="AI240">
        <v>13820000</v>
      </c>
      <c r="AJ240" t="s">
        <v>119</v>
      </c>
      <c r="AM240">
        <v>213112</v>
      </c>
      <c r="AN240" t="s">
        <v>74</v>
      </c>
      <c r="AQ240" t="s">
        <v>75</v>
      </c>
      <c r="AT240" t="s">
        <v>76</v>
      </c>
      <c r="BF240">
        <v>0</v>
      </c>
      <c r="BG240">
        <v>0</v>
      </c>
      <c r="CK240" s="19">
        <f>IF(BQ240&gt;0,BQ240,W240)</f>
        <v>1022412</v>
      </c>
      <c r="CL240" s="20">
        <f>IF(BS240&gt;0,BS240,Y240)</f>
        <v>6</v>
      </c>
      <c r="CM240" s="34">
        <f>IF(CG240&gt;0,CG240,AM240)</f>
        <v>213112</v>
      </c>
      <c r="CN240" s="80">
        <f>IF($BH240="",1,COUNTIF($BH$3:$BH240,$BH240))</f>
        <v>1</v>
      </c>
      <c r="CP240" t="str">
        <f>IF($K240="Standard Match","Match",IF($K240="Name Only Match",IF($CO240="Yes","Match","Name Only Match"),"No Match"))</f>
        <v>Match</v>
      </c>
      <c r="CQ240" s="35" t="str">
        <f>IF(AND(CP240="Match",CK240&gt;0,CL240&gt;0),"Y","N")</f>
        <v>Y</v>
      </c>
      <c r="CS240" t="str">
        <f>IF($CQ240="Y",VLOOKUP($CM240,'SBA Size Standards'!$B$3:$G$57,MATCH('SBA Size Standards'!$G$3,'SBA Size Standards'!$B$3:$G$3,0),FALSE),"")</f>
        <v>Revenue</v>
      </c>
      <c r="CT240" s="60">
        <f>IF(CQ240="Y",IF($CS240="Employment","N/A",VLOOKUP($CM240,'SBA Size Standards'!$B$3:$G$57,MATCH('SBA Size Standards'!$E$3,'SBA Size Standards'!$B$3:$G$3,0),FALSE)),"")</f>
        <v>41500000</v>
      </c>
      <c r="CU240" s="86" t="str">
        <f>IF($CQ240="Y",IF($CS240="Revenue","N/A",VLOOKUP($CM240,'SBA Size Standards'!$B$3:$G$57,MATCH('SBA Size Standards'!$F$3,'SBA Size Standards'!$B$3:$G$3,0),FALSE)),"")</f>
        <v>N/A</v>
      </c>
      <c r="CV240" t="str">
        <f>IF($CQ240="Y",IF(OR(AND($CS240="Employment",$CL240&lt;$CU240),AND($CS240="Revenue",$CK240&lt;$CT240)),"YES","NO"),"")</f>
        <v>YES</v>
      </c>
      <c r="CW240" s="90" t="str">
        <f>IF($CQ240="Y",INDEX('SBA Size Standards'!$N$3:$N$12,MATCH($CK240,'SBA Size Standards'!$O$3:$O$12,1)),"")</f>
        <v>$1,000,001 - $5,000,000</v>
      </c>
      <c r="CX240" s="122" t="s">
        <v>4729</v>
      </c>
      <c r="CY240" s="122">
        <f>INDEX('NM O&amp;G Production'!$P$3:$P$537,MATCH(CX240,'NM O&amp;G Production'!$Q$3:$Q$537,0))</f>
        <v>407</v>
      </c>
      <c r="CZ240" s="122" t="str">
        <f>INDEX('NM O&amp;G Production'!$O$3:$O$537,MATCH(CY240,'NM O&amp;G Production'!$P$3:$P$537,0))</f>
        <v>Yes</v>
      </c>
      <c r="DA240" s="127">
        <f>INDEX('NM O&amp;G Production'!$K$3:$O$537,MATCH($CY240,'NM O&amp;G Production'!$P$3:$P$537,0),MATCH(DA$2,'NM O&amp;G Production'!$K$2:$O$2,0))</f>
        <v>3</v>
      </c>
      <c r="DB240" s="127">
        <f>INDEX('NM O&amp;G Production'!$K$3:$O$537,MATCH($CY240,'NM O&amp;G Production'!$P$3:$P$537,0),MATCH(DB$2,'NM O&amp;G Production'!$K$2:$O$2,0))</f>
        <v>9</v>
      </c>
      <c r="DC240" s="127">
        <f>DA240+DB240</f>
        <v>12</v>
      </c>
      <c r="DD240" s="127">
        <f>INDEX('NM O&amp;G Production'!$K$3:$O$537,MATCH($CY240,'NM O&amp;G Production'!$P$3:$P$537,0),MATCH(DD$2,'NM O&amp;G Production'!$K$2:$O$2,0))</f>
        <v>298860</v>
      </c>
      <c r="DE240" s="127">
        <f>INDEX('NM O&amp;G Production'!$K$3:$O$537,MATCH($CY240,'NM O&amp;G Production'!$P$3:$P$537,0),MATCH(DE$2,'NM O&amp;G Production'!$K$2:$O$2,0))</f>
        <v>3286</v>
      </c>
      <c r="DF240" s="258">
        <f>CK240/(DB240+DA240)</f>
        <v>85201</v>
      </c>
      <c r="DG240" s="57">
        <f>DD240*(12/18)*1.06*'Oil and Gas Prices'!$C$18</f>
        <v>504754.6160000001</v>
      </c>
      <c r="DH240" s="284">
        <f>DE240*(12/18)*'Oil and Gas Prices'!$C$4</f>
        <v>98580</v>
      </c>
      <c r="DI240" s="284">
        <f>DG240+DH240</f>
        <v>603334.61600000015</v>
      </c>
      <c r="DJ240" s="57">
        <f>(DG240+DH240)/(DA240+DB240)</f>
        <v>50277.88466666668</v>
      </c>
      <c r="DK240" s="319"/>
    </row>
    <row r="241" spans="1:115" x14ac:dyDescent="0.25">
      <c r="A241" t="s">
        <v>2022</v>
      </c>
      <c r="B241" t="s">
        <v>2023</v>
      </c>
      <c r="D241" t="s">
        <v>209</v>
      </c>
      <c r="E241" t="s">
        <v>84</v>
      </c>
      <c r="F241">
        <v>88202</v>
      </c>
      <c r="G241" t="s">
        <v>62</v>
      </c>
      <c r="I241">
        <v>284</v>
      </c>
      <c r="J241" t="s">
        <v>63</v>
      </c>
      <c r="K241" t="s">
        <v>4133</v>
      </c>
      <c r="L241" t="s">
        <v>279</v>
      </c>
      <c r="M241">
        <v>8</v>
      </c>
      <c r="N241" t="s">
        <v>2024</v>
      </c>
      <c r="O241" t="s">
        <v>2025</v>
      </c>
      <c r="Q241" t="s">
        <v>2026</v>
      </c>
      <c r="R241" t="s">
        <v>209</v>
      </c>
      <c r="S241" t="s">
        <v>214</v>
      </c>
      <c r="T241">
        <v>88201</v>
      </c>
      <c r="U241" t="s">
        <v>62</v>
      </c>
      <c r="V241">
        <v>5056231996</v>
      </c>
      <c r="W241" s="1">
        <v>1019453</v>
      </c>
      <c r="X241">
        <v>4</v>
      </c>
      <c r="Y241">
        <v>4</v>
      </c>
      <c r="Z241">
        <v>1984</v>
      </c>
      <c r="AA241" t="s">
        <v>70</v>
      </c>
      <c r="AB241" t="s">
        <v>2027</v>
      </c>
      <c r="AC241" t="s">
        <v>145</v>
      </c>
      <c r="AD241" t="s">
        <v>99</v>
      </c>
      <c r="AE241">
        <v>1311</v>
      </c>
      <c r="AF241" t="s">
        <v>100</v>
      </c>
      <c r="AI241">
        <v>13110101</v>
      </c>
      <c r="AJ241" t="s">
        <v>102</v>
      </c>
      <c r="AM241">
        <v>211120</v>
      </c>
      <c r="AN241" t="s">
        <v>104</v>
      </c>
      <c r="AQ241" t="s">
        <v>75</v>
      </c>
      <c r="AT241" t="s">
        <v>76</v>
      </c>
      <c r="BF241">
        <v>0</v>
      </c>
      <c r="BG241">
        <v>0</v>
      </c>
      <c r="CK241" s="19">
        <f>IF(BQ241&gt;0,BQ241,W241)</f>
        <v>1019453</v>
      </c>
      <c r="CL241" s="20">
        <f>IF(BS241&gt;0,BS241,Y241)</f>
        <v>4</v>
      </c>
      <c r="CM241" s="34">
        <f>IF(CG241&gt;0,CG241,AM241)</f>
        <v>211120</v>
      </c>
      <c r="CN241" s="80">
        <f>IF($BH241="",1,COUNTIF($BH$3:$BH241,$BH241))</f>
        <v>1</v>
      </c>
      <c r="CP241" t="str">
        <f>IF($K241="Standard Match","Match",IF($K241="Name Only Match",IF($CO241="Yes","Match","Name Only Match"),"No Match"))</f>
        <v>Match</v>
      </c>
      <c r="CQ241" s="35" t="str">
        <f>IF(AND(CP241="Match",CK241&gt;0,CL241&gt;0),"Y","N")</f>
        <v>Y</v>
      </c>
      <c r="CS241" t="str">
        <f>IF($CQ241="Y",VLOOKUP($CM241,'SBA Size Standards'!$B$3:$G$57,MATCH('SBA Size Standards'!$G$3,'SBA Size Standards'!$B$3:$G$3,0),FALSE),"")</f>
        <v>Employment</v>
      </c>
      <c r="CT241" s="60" t="str">
        <f>IF(CQ241="Y",IF($CS241="Employment","N/A",VLOOKUP($CM241,'SBA Size Standards'!$B$3:$G$57,MATCH('SBA Size Standards'!$E$3,'SBA Size Standards'!$B$3:$G$3,0),FALSE)),"")</f>
        <v>N/A</v>
      </c>
      <c r="CU241" s="86">
        <f>IF($CQ241="Y",IF($CS241="Revenue","N/A",VLOOKUP($CM241,'SBA Size Standards'!$B$3:$G$57,MATCH('SBA Size Standards'!$F$3,'SBA Size Standards'!$B$3:$G$3,0),FALSE)),"")</f>
        <v>1250</v>
      </c>
      <c r="CV241" t="str">
        <f>IF($CQ241="Y",IF(OR(AND($CS241="Employment",$CL241&lt;$CU241),AND($CS241="Revenue",$CK241&lt;$CT241)),"YES","NO"),"")</f>
        <v>YES</v>
      </c>
      <c r="CW241" s="90" t="str">
        <f>IF($CQ241="Y",INDEX('SBA Size Standards'!$N$3:$N$12,MATCH($CK241,'SBA Size Standards'!$O$3:$O$12,1)),"")</f>
        <v>$1,000,001 - $5,000,000</v>
      </c>
      <c r="CX241" s="122" t="s">
        <v>4865</v>
      </c>
      <c r="CY241" s="122">
        <f>INDEX('NM O&amp;G Production'!$P$3:$P$537,MATCH(CX241,'NM O&amp;G Production'!$Q$3:$Q$537,0))</f>
        <v>284</v>
      </c>
      <c r="CZ241" s="122" t="str">
        <f>INDEX('NM O&amp;G Production'!$O$3:$O$537,MATCH(CY241,'NM O&amp;G Production'!$P$3:$P$537,0))</f>
        <v>Yes</v>
      </c>
      <c r="DA241" s="127">
        <f>INDEX('NM O&amp;G Production'!$K$3:$O$537,MATCH($CY241,'NM O&amp;G Production'!$P$3:$P$537,0),MATCH(DA$2,'NM O&amp;G Production'!$K$2:$O$2,0))</f>
        <v>11</v>
      </c>
      <c r="DB241" s="127">
        <f>INDEX('NM O&amp;G Production'!$K$3:$O$537,MATCH($CY241,'NM O&amp;G Production'!$P$3:$P$537,0),MATCH(DB$2,'NM O&amp;G Production'!$K$2:$O$2,0))</f>
        <v>13</v>
      </c>
      <c r="DC241" s="127">
        <f>DA241+DB241</f>
        <v>24</v>
      </c>
      <c r="DD241" s="127">
        <f>INDEX('NM O&amp;G Production'!$K$3:$O$537,MATCH($CY241,'NM O&amp;G Production'!$P$3:$P$537,0),MATCH(DD$2,'NM O&amp;G Production'!$K$2:$O$2,0))</f>
        <v>212544</v>
      </c>
      <c r="DE241" s="127">
        <f>INDEX('NM O&amp;G Production'!$K$3:$O$537,MATCH($CY241,'NM O&amp;G Production'!$P$3:$P$537,0),MATCH(DE$2,'NM O&amp;G Production'!$K$2:$O$2,0))</f>
        <v>306749</v>
      </c>
      <c r="DF241" s="258">
        <f>CK241/(DB241+DA241)</f>
        <v>42477.208333333336</v>
      </c>
      <c r="DG241" s="57">
        <f>DD241*(12/18)*1.06*'Oil and Gas Prices'!$C$18</f>
        <v>358972.64640000003</v>
      </c>
      <c r="DH241" s="284">
        <f>DE241*(12/18)*'Oil and Gas Prices'!$C$4</f>
        <v>9202470</v>
      </c>
      <c r="DI241" s="284">
        <f>DG241+DH241</f>
        <v>9561442.6464000009</v>
      </c>
      <c r="DJ241" s="57">
        <f>(DG241+DH241)/(DA241+DB241)</f>
        <v>398393.44360000006</v>
      </c>
      <c r="DK241" s="318"/>
    </row>
    <row r="242" spans="1:115" x14ac:dyDescent="0.25">
      <c r="A242" t="s">
        <v>2280</v>
      </c>
      <c r="B242" t="s">
        <v>2281</v>
      </c>
      <c r="D242" t="s">
        <v>2282</v>
      </c>
      <c r="E242" t="s">
        <v>80</v>
      </c>
      <c r="F242">
        <v>79782</v>
      </c>
      <c r="G242" t="s">
        <v>62</v>
      </c>
      <c r="I242">
        <v>323</v>
      </c>
      <c r="J242" t="s">
        <v>392</v>
      </c>
      <c r="K242" t="s">
        <v>4133</v>
      </c>
      <c r="L242" t="s">
        <v>279</v>
      </c>
      <c r="M242">
        <v>8</v>
      </c>
      <c r="N242" t="s">
        <v>2283</v>
      </c>
      <c r="O242" t="s">
        <v>2284</v>
      </c>
      <c r="Q242" t="s">
        <v>2285</v>
      </c>
      <c r="R242" t="s">
        <v>2282</v>
      </c>
      <c r="S242" t="s">
        <v>94</v>
      </c>
      <c r="T242">
        <v>79782</v>
      </c>
      <c r="U242" t="s">
        <v>62</v>
      </c>
      <c r="V242">
        <v>4327562902</v>
      </c>
      <c r="W242" s="1">
        <v>1006974</v>
      </c>
      <c r="X242">
        <v>3</v>
      </c>
      <c r="Y242">
        <v>3</v>
      </c>
      <c r="Z242">
        <v>1983</v>
      </c>
      <c r="AA242" t="s">
        <v>70</v>
      </c>
      <c r="AB242" t="s">
        <v>2286</v>
      </c>
      <c r="AC242" t="s">
        <v>98</v>
      </c>
      <c r="AD242" t="s">
        <v>99</v>
      </c>
      <c r="AE242">
        <v>1311</v>
      </c>
      <c r="AF242" t="s">
        <v>100</v>
      </c>
      <c r="AI242">
        <v>13110101</v>
      </c>
      <c r="AJ242" t="s">
        <v>102</v>
      </c>
      <c r="AM242">
        <v>211120</v>
      </c>
      <c r="AN242" t="s">
        <v>104</v>
      </c>
      <c r="AQ242" t="s">
        <v>75</v>
      </c>
      <c r="AT242" t="s">
        <v>76</v>
      </c>
      <c r="BF242">
        <v>0</v>
      </c>
      <c r="BG242">
        <v>0</v>
      </c>
      <c r="CK242" s="19">
        <f>IF(BQ242&gt;0,BQ242,W242)</f>
        <v>1006974</v>
      </c>
      <c r="CL242" s="20">
        <f>IF(BS242&gt;0,BS242,Y242)</f>
        <v>3</v>
      </c>
      <c r="CM242" s="34">
        <f>IF(CG242&gt;0,CG242,AM242)</f>
        <v>211120</v>
      </c>
      <c r="CN242" s="80">
        <f>IF($BH242="",1,COUNTIF($BH$3:$BH242,$BH242))</f>
        <v>1</v>
      </c>
      <c r="CP242" t="str">
        <f>IF($K242="Standard Match","Match",IF($K242="Name Only Match",IF($CO242="Yes","Match","Name Only Match"),"No Match"))</f>
        <v>Match</v>
      </c>
      <c r="CQ242" s="35" t="str">
        <f>IF(AND(CP242="Match",CK242&gt;0,CL242&gt;0),"Y","N")</f>
        <v>Y</v>
      </c>
      <c r="CS242" t="str">
        <f>IF($CQ242="Y",VLOOKUP($CM242,'SBA Size Standards'!$B$3:$G$57,MATCH('SBA Size Standards'!$G$3,'SBA Size Standards'!$B$3:$G$3,0),FALSE),"")</f>
        <v>Employment</v>
      </c>
      <c r="CT242" s="60" t="str">
        <f>IF(CQ242="Y",IF($CS242="Employment","N/A",VLOOKUP($CM242,'SBA Size Standards'!$B$3:$G$57,MATCH('SBA Size Standards'!$E$3,'SBA Size Standards'!$B$3:$G$3,0),FALSE)),"")</f>
        <v>N/A</v>
      </c>
      <c r="CU242" s="86">
        <f>IF($CQ242="Y",IF($CS242="Revenue","N/A",VLOOKUP($CM242,'SBA Size Standards'!$B$3:$G$57,MATCH('SBA Size Standards'!$F$3,'SBA Size Standards'!$B$3:$G$3,0),FALSE)),"")</f>
        <v>1250</v>
      </c>
      <c r="CV242" t="str">
        <f>IF($CQ242="Y",IF(OR(AND($CS242="Employment",$CL242&lt;$CU242),AND($CS242="Revenue",$CK242&lt;$CT242)),"YES","NO"),"")</f>
        <v>YES</v>
      </c>
      <c r="CW242" s="90" t="str">
        <f>IF($CQ242="Y",INDEX('SBA Size Standards'!$N$3:$N$12,MATCH($CK242,'SBA Size Standards'!$O$3:$O$12,1)),"")</f>
        <v>$1,000,001 - $5,000,000</v>
      </c>
      <c r="CX242" s="122" t="s">
        <v>4874</v>
      </c>
      <c r="CY242" s="122">
        <f>INDEX('NM O&amp;G Production'!$P$3:$P$537,MATCH(CX242,'NM O&amp;G Production'!$Q$3:$Q$537,0))</f>
        <v>323</v>
      </c>
      <c r="CZ242" s="122" t="str">
        <f>INDEX('NM O&amp;G Production'!$O$3:$O$537,MATCH(CY242,'NM O&amp;G Production'!$P$3:$P$537,0))</f>
        <v>Yes</v>
      </c>
      <c r="DA242" s="127">
        <f>INDEX('NM O&amp;G Production'!$K$3:$O$537,MATCH($CY242,'NM O&amp;G Production'!$P$3:$P$537,0),MATCH(DA$2,'NM O&amp;G Production'!$K$2:$O$2,0))</f>
        <v>0</v>
      </c>
      <c r="DB242" s="127">
        <f>INDEX('NM O&amp;G Production'!$K$3:$O$537,MATCH($CY242,'NM O&amp;G Production'!$P$3:$P$537,0),MATCH(DB$2,'NM O&amp;G Production'!$K$2:$O$2,0))</f>
        <v>1</v>
      </c>
      <c r="DC242" s="127">
        <f>DA242+DB242</f>
        <v>1</v>
      </c>
      <c r="DD242" s="127">
        <f>INDEX('NM O&amp;G Production'!$K$3:$O$537,MATCH($CY242,'NM O&amp;G Production'!$P$3:$P$537,0),MATCH(DD$2,'NM O&amp;G Production'!$K$2:$O$2,0))</f>
        <v>460</v>
      </c>
      <c r="DE242" s="127">
        <f>INDEX('NM O&amp;G Production'!$K$3:$O$537,MATCH($CY242,'NM O&amp;G Production'!$P$3:$P$537,0),MATCH(DE$2,'NM O&amp;G Production'!$K$2:$O$2,0))</f>
        <v>0</v>
      </c>
      <c r="DF242" s="258">
        <f>CK242/(DB242+DA242)</f>
        <v>1006974</v>
      </c>
      <c r="DG242" s="57">
        <f>DD242*(12/18)*1.06*'Oil and Gas Prices'!$C$18</f>
        <v>776.90933333333339</v>
      </c>
      <c r="DH242" s="284">
        <f>DE242*(12/18)*'Oil and Gas Prices'!$C$4</f>
        <v>0</v>
      </c>
      <c r="DI242" s="284">
        <f>DG242+DH242</f>
        <v>776.90933333333339</v>
      </c>
      <c r="DJ242" s="57">
        <f>(DG242+DH242)/(DA242+DB242)</f>
        <v>776.90933333333339</v>
      </c>
      <c r="DK242" s="318"/>
    </row>
    <row r="243" spans="1:115" x14ac:dyDescent="0.25">
      <c r="A243" t="s">
        <v>1644</v>
      </c>
      <c r="B243" t="s">
        <v>1645</v>
      </c>
      <c r="D243" t="s">
        <v>153</v>
      </c>
      <c r="E243" t="s">
        <v>80</v>
      </c>
      <c r="F243">
        <v>79705</v>
      </c>
      <c r="G243" t="s">
        <v>62</v>
      </c>
      <c r="I243">
        <v>223</v>
      </c>
      <c r="J243" t="s">
        <v>63</v>
      </c>
      <c r="K243" t="s">
        <v>4133</v>
      </c>
      <c r="L243" t="s">
        <v>149</v>
      </c>
      <c r="M243">
        <v>10</v>
      </c>
      <c r="N243" t="s">
        <v>1646</v>
      </c>
      <c r="O243" t="s">
        <v>1647</v>
      </c>
      <c r="P243" t="s">
        <v>1648</v>
      </c>
      <c r="Q243" t="s">
        <v>1649</v>
      </c>
      <c r="R243" t="s">
        <v>153</v>
      </c>
      <c r="S243" t="s">
        <v>94</v>
      </c>
      <c r="T243" t="s">
        <v>1650</v>
      </c>
      <c r="U243" t="s">
        <v>62</v>
      </c>
      <c r="V243">
        <v>4326839231</v>
      </c>
      <c r="W243" s="1">
        <v>1000000</v>
      </c>
      <c r="X243">
        <v>3</v>
      </c>
      <c r="Y243">
        <v>3</v>
      </c>
      <c r="Z243">
        <v>1953</v>
      </c>
      <c r="AA243" t="s">
        <v>70</v>
      </c>
      <c r="AB243" t="s">
        <v>1647</v>
      </c>
      <c r="AC243" t="s">
        <v>483</v>
      </c>
      <c r="AD243" t="s">
        <v>99</v>
      </c>
      <c r="AE243">
        <v>1311</v>
      </c>
      <c r="AF243" t="s">
        <v>100</v>
      </c>
      <c r="AI243">
        <v>13110101</v>
      </c>
      <c r="AJ243" t="s">
        <v>102</v>
      </c>
      <c r="AM243">
        <v>211120</v>
      </c>
      <c r="AN243" t="s">
        <v>104</v>
      </c>
      <c r="AQ243" t="s">
        <v>75</v>
      </c>
      <c r="AT243" t="s">
        <v>76</v>
      </c>
      <c r="BF243">
        <v>0</v>
      </c>
      <c r="BG243">
        <v>0</v>
      </c>
      <c r="CK243" s="19">
        <f>IF(BQ243&gt;0,BQ243,W243)</f>
        <v>1000000</v>
      </c>
      <c r="CL243" s="20">
        <f>IF(BS243&gt;0,BS243,Y243)</f>
        <v>3</v>
      </c>
      <c r="CM243" s="34">
        <f>IF(CG243&gt;0,CG243,AM243)</f>
        <v>211120</v>
      </c>
      <c r="CN243" s="80">
        <f>IF($BH243="",1,COUNTIF($BH$3:$BH243,$BH243))</f>
        <v>1</v>
      </c>
      <c r="CP243" t="str">
        <f>IF($K243="Standard Match","Match",IF($K243="Name Only Match",IF($CO243="Yes","Match","Name Only Match"),"No Match"))</f>
        <v>Match</v>
      </c>
      <c r="CQ243" s="35" t="str">
        <f>IF(AND(CP243="Match",CK243&gt;0,CL243&gt;0),"Y","N")</f>
        <v>Y</v>
      </c>
      <c r="CS243" t="str">
        <f>IF($CQ243="Y",VLOOKUP($CM243,'SBA Size Standards'!$B$3:$G$57,MATCH('SBA Size Standards'!$G$3,'SBA Size Standards'!$B$3:$G$3,0),FALSE),"")</f>
        <v>Employment</v>
      </c>
      <c r="CT243" s="60" t="str">
        <f>IF(CQ243="Y",IF($CS243="Employment","N/A",VLOOKUP($CM243,'SBA Size Standards'!$B$3:$G$57,MATCH('SBA Size Standards'!$E$3,'SBA Size Standards'!$B$3:$G$3,0),FALSE)),"")</f>
        <v>N/A</v>
      </c>
      <c r="CU243" s="86">
        <f>IF($CQ243="Y",IF($CS243="Revenue","N/A",VLOOKUP($CM243,'SBA Size Standards'!$B$3:$G$57,MATCH('SBA Size Standards'!$F$3,'SBA Size Standards'!$B$3:$G$3,0),FALSE)),"")</f>
        <v>1250</v>
      </c>
      <c r="CV243" t="str">
        <f>IF($CQ243="Y",IF(OR(AND($CS243="Employment",$CL243&lt;$CU243),AND($CS243="Revenue",$CK243&lt;$CT243)),"YES","NO"),"")</f>
        <v>YES</v>
      </c>
      <c r="CW243" s="90" t="str">
        <f>IF($CQ243="Y",INDEX('SBA Size Standards'!$N$3:$N$12,MATCH($CK243,'SBA Size Standards'!$O$3:$O$12,1)),"")</f>
        <v>$500,001 - $1,000,000</v>
      </c>
      <c r="CX243" s="122" t="s">
        <v>4641</v>
      </c>
      <c r="CY243" s="122">
        <f>INDEX('NM O&amp;G Production'!$P$3:$P$537,MATCH(CX243,'NM O&amp;G Production'!$Q$3:$Q$537,0))</f>
        <v>223</v>
      </c>
      <c r="CZ243" s="122" t="str">
        <f>INDEX('NM O&amp;G Production'!$O$3:$O$537,MATCH(CY243,'NM O&amp;G Production'!$P$3:$P$537,0))</f>
        <v>Yes</v>
      </c>
      <c r="DA243" s="127">
        <f>INDEX('NM O&amp;G Production'!$K$3:$O$537,MATCH($CY243,'NM O&amp;G Production'!$P$3:$P$537,0),MATCH(DA$2,'NM O&amp;G Production'!$K$2:$O$2,0))</f>
        <v>1</v>
      </c>
      <c r="DB243" s="127">
        <f>INDEX('NM O&amp;G Production'!$K$3:$O$537,MATCH($CY243,'NM O&amp;G Production'!$P$3:$P$537,0),MATCH(DB$2,'NM O&amp;G Production'!$K$2:$O$2,0))</f>
        <v>3</v>
      </c>
      <c r="DC243" s="127">
        <f>DA243+DB243</f>
        <v>4</v>
      </c>
      <c r="DD243" s="127">
        <f>INDEX('NM O&amp;G Production'!$K$3:$O$537,MATCH($CY243,'NM O&amp;G Production'!$P$3:$P$537,0),MATCH(DD$2,'NM O&amp;G Production'!$K$2:$O$2,0))</f>
        <v>45303</v>
      </c>
      <c r="DE243" s="127">
        <f>INDEX('NM O&amp;G Production'!$K$3:$O$537,MATCH($CY243,'NM O&amp;G Production'!$P$3:$P$537,0),MATCH(DE$2,'NM O&amp;G Production'!$K$2:$O$2,0))</f>
        <v>386</v>
      </c>
      <c r="DF243" s="258">
        <f>CK243/(DB243+DA243)</f>
        <v>250000</v>
      </c>
      <c r="DG243" s="57">
        <f>DD243*(12/18)*1.06*'Oil and Gas Prices'!$C$18</f>
        <v>76513.746800000008</v>
      </c>
      <c r="DH243" s="284">
        <f>DE243*(12/18)*'Oil and Gas Prices'!$C$4</f>
        <v>11580</v>
      </c>
      <c r="DI243" s="284">
        <f>DG243+DH243</f>
        <v>88093.746800000008</v>
      </c>
      <c r="DJ243" s="57">
        <f>(DG243+DH243)/(DA243+DB243)</f>
        <v>22023.436700000002</v>
      </c>
      <c r="DK243" s="319"/>
    </row>
    <row r="244" spans="1:115" x14ac:dyDescent="0.25">
      <c r="A244" t="s">
        <v>860</v>
      </c>
      <c r="B244" t="s">
        <v>861</v>
      </c>
      <c r="D244" t="s">
        <v>112</v>
      </c>
      <c r="E244" t="s">
        <v>80</v>
      </c>
      <c r="F244">
        <v>77042</v>
      </c>
      <c r="G244" t="s">
        <v>62</v>
      </c>
      <c r="I244">
        <v>109</v>
      </c>
      <c r="J244" t="s">
        <v>392</v>
      </c>
      <c r="K244" t="s">
        <v>4133</v>
      </c>
      <c r="L244" t="s">
        <v>64</v>
      </c>
      <c r="M244">
        <v>10</v>
      </c>
      <c r="N244" t="s">
        <v>862</v>
      </c>
      <c r="O244" t="s">
        <v>863</v>
      </c>
      <c r="Q244" t="s">
        <v>864</v>
      </c>
      <c r="R244" t="s">
        <v>112</v>
      </c>
      <c r="S244" t="s">
        <v>94</v>
      </c>
      <c r="T244" t="s">
        <v>865</v>
      </c>
      <c r="U244" t="s">
        <v>62</v>
      </c>
      <c r="V244">
        <v>7139537718</v>
      </c>
      <c r="W244" s="1">
        <v>1000000</v>
      </c>
      <c r="X244">
        <v>2</v>
      </c>
      <c r="Y244">
        <v>2</v>
      </c>
      <c r="Z244">
        <v>1976</v>
      </c>
      <c r="AA244" t="s">
        <v>70</v>
      </c>
      <c r="AB244" t="s">
        <v>866</v>
      </c>
      <c r="AC244" t="s">
        <v>98</v>
      </c>
      <c r="AD244" t="s">
        <v>99</v>
      </c>
      <c r="AE244">
        <v>1311</v>
      </c>
      <c r="AF244" t="s">
        <v>100</v>
      </c>
      <c r="AI244">
        <v>13110101</v>
      </c>
      <c r="AJ244" t="s">
        <v>102</v>
      </c>
      <c r="AM244">
        <v>211120</v>
      </c>
      <c r="AN244" t="s">
        <v>104</v>
      </c>
      <c r="AQ244" t="s">
        <v>75</v>
      </c>
      <c r="AT244" t="s">
        <v>76</v>
      </c>
      <c r="BF244">
        <v>0</v>
      </c>
      <c r="BG244">
        <v>0</v>
      </c>
      <c r="CK244" s="19">
        <f>IF(BQ244&gt;0,BQ244,W244)</f>
        <v>1000000</v>
      </c>
      <c r="CL244" s="20">
        <f>IF(BS244&gt;0,BS244,Y244)</f>
        <v>2</v>
      </c>
      <c r="CM244" s="34">
        <f>IF(CG244&gt;0,CG244,AM244)</f>
        <v>211120</v>
      </c>
      <c r="CN244" s="80">
        <f>IF($BH244="",1,COUNTIF($BH$3:$BH244,$BH244))</f>
        <v>1</v>
      </c>
      <c r="CP244" t="str">
        <f>IF($K244="Standard Match","Match",IF($K244="Name Only Match",IF($CO244="Yes","Match","Name Only Match"),"No Match"))</f>
        <v>Match</v>
      </c>
      <c r="CQ244" s="35" t="str">
        <f>IF(AND(CP244="Match",CK244&gt;0,CL244&gt;0),"Y","N")</f>
        <v>Y</v>
      </c>
      <c r="CS244" t="str">
        <f>IF($CQ244="Y",VLOOKUP($CM244,'SBA Size Standards'!$B$3:$G$57,MATCH('SBA Size Standards'!$G$3,'SBA Size Standards'!$B$3:$G$3,0),FALSE),"")</f>
        <v>Employment</v>
      </c>
      <c r="CT244" s="60" t="str">
        <f>IF(CQ244="Y",IF($CS244="Employment","N/A",VLOOKUP($CM244,'SBA Size Standards'!$B$3:$G$57,MATCH('SBA Size Standards'!$E$3,'SBA Size Standards'!$B$3:$G$3,0),FALSE)),"")</f>
        <v>N/A</v>
      </c>
      <c r="CU244" s="86">
        <f>IF($CQ244="Y",IF($CS244="Revenue","N/A",VLOOKUP($CM244,'SBA Size Standards'!$B$3:$G$57,MATCH('SBA Size Standards'!$F$3,'SBA Size Standards'!$B$3:$G$3,0),FALSE)),"")</f>
        <v>1250</v>
      </c>
      <c r="CV244" t="str">
        <f>IF($CQ244="Y",IF(OR(AND($CS244="Employment",$CL244&lt;$CU244),AND($CS244="Revenue",$CK244&lt;$CT244)),"YES","NO"),"")</f>
        <v>YES</v>
      </c>
      <c r="CW244" s="90" t="str">
        <f>IF($CQ244="Y",INDEX('SBA Size Standards'!$N$3:$N$12,MATCH($CK244,'SBA Size Standards'!$O$3:$O$12,1)),"")</f>
        <v>$500,001 - $1,000,000</v>
      </c>
      <c r="CX244" s="122" t="s">
        <v>4583</v>
      </c>
      <c r="CY244" s="122">
        <f>INDEX('NM O&amp;G Production'!$P$3:$P$537,MATCH(CX244,'NM O&amp;G Production'!$Q$3:$Q$537,0))</f>
        <v>109</v>
      </c>
      <c r="CZ244" s="122" t="str">
        <f>INDEX('NM O&amp;G Production'!$O$3:$O$537,MATCH(CY244,'NM O&amp;G Production'!$P$3:$P$537,0))</f>
        <v>Yes</v>
      </c>
      <c r="DA244" s="127">
        <f>INDEX('NM O&amp;G Production'!$K$3:$O$537,MATCH($CY244,'NM O&amp;G Production'!$P$3:$P$537,0),MATCH(DA$2,'NM O&amp;G Production'!$K$2:$O$2,0))</f>
        <v>0</v>
      </c>
      <c r="DB244" s="127">
        <f>INDEX('NM O&amp;G Production'!$K$3:$O$537,MATCH($CY244,'NM O&amp;G Production'!$P$3:$P$537,0),MATCH(DB$2,'NM O&amp;G Production'!$K$2:$O$2,0))</f>
        <v>1</v>
      </c>
      <c r="DC244" s="127">
        <f>DA244+DB244</f>
        <v>1</v>
      </c>
      <c r="DD244" s="127">
        <f>INDEX('NM O&amp;G Production'!$K$3:$O$537,MATCH($CY244,'NM O&amp;G Production'!$P$3:$P$537,0),MATCH(DD$2,'NM O&amp;G Production'!$K$2:$O$2,0))</f>
        <v>10596</v>
      </c>
      <c r="DE244" s="127">
        <f>INDEX('NM O&amp;G Production'!$K$3:$O$537,MATCH($CY244,'NM O&amp;G Production'!$P$3:$P$537,0),MATCH(DE$2,'NM O&amp;G Production'!$K$2:$O$2,0))</f>
        <v>0</v>
      </c>
      <c r="DF244" s="258">
        <f>CK244/(DB244+DA244)</f>
        <v>1000000</v>
      </c>
      <c r="DG244" s="57">
        <f>DD244*(12/18)*1.06*'Oil and Gas Prices'!$C$18</f>
        <v>17895.937600000001</v>
      </c>
      <c r="DH244" s="284">
        <f>DE244*(12/18)*'Oil and Gas Prices'!$C$4</f>
        <v>0</v>
      </c>
      <c r="DI244" s="284">
        <f>DG244+DH244</f>
        <v>17895.937600000001</v>
      </c>
      <c r="DJ244" s="57">
        <f>(DG244+DH244)/(DA244+DB244)</f>
        <v>17895.937600000001</v>
      </c>
      <c r="DK244" s="318"/>
    </row>
    <row r="245" spans="1:115" x14ac:dyDescent="0.25">
      <c r="A245" t="s">
        <v>2640</v>
      </c>
      <c r="B245" t="s">
        <v>2641</v>
      </c>
      <c r="D245" t="s">
        <v>123</v>
      </c>
      <c r="E245" t="s">
        <v>84</v>
      </c>
      <c r="F245">
        <v>87499</v>
      </c>
      <c r="G245" t="s">
        <v>62</v>
      </c>
      <c r="I245">
        <v>382</v>
      </c>
      <c r="J245" t="s">
        <v>63</v>
      </c>
      <c r="K245" t="s">
        <v>4133</v>
      </c>
      <c r="L245" t="s">
        <v>149</v>
      </c>
      <c r="M245">
        <v>10</v>
      </c>
      <c r="N245" t="s">
        <v>2642</v>
      </c>
      <c r="O245" t="s">
        <v>2643</v>
      </c>
      <c r="Q245" t="s">
        <v>2644</v>
      </c>
      <c r="R245" t="s">
        <v>123</v>
      </c>
      <c r="S245" t="s">
        <v>214</v>
      </c>
      <c r="T245" t="s">
        <v>2645</v>
      </c>
      <c r="U245" t="s">
        <v>62</v>
      </c>
      <c r="V245">
        <v>5053264125</v>
      </c>
      <c r="W245" s="1">
        <v>1000000</v>
      </c>
      <c r="X245">
        <v>5</v>
      </c>
      <c r="Y245">
        <v>5</v>
      </c>
      <c r="Z245">
        <v>1989</v>
      </c>
      <c r="AA245" t="s">
        <v>70</v>
      </c>
      <c r="AB245" t="s">
        <v>2646</v>
      </c>
      <c r="AC245" t="s">
        <v>98</v>
      </c>
      <c r="AD245" t="s">
        <v>99</v>
      </c>
      <c r="AE245">
        <v>1311</v>
      </c>
      <c r="AF245" t="s">
        <v>100</v>
      </c>
      <c r="AI245">
        <v>13110101</v>
      </c>
      <c r="AJ245" t="s">
        <v>102</v>
      </c>
      <c r="AM245">
        <v>211120</v>
      </c>
      <c r="AN245" t="s">
        <v>104</v>
      </c>
      <c r="AQ245" t="s">
        <v>75</v>
      </c>
      <c r="AT245" t="s">
        <v>76</v>
      </c>
      <c r="BF245">
        <v>0</v>
      </c>
      <c r="BG245">
        <v>0</v>
      </c>
      <c r="CK245" s="19">
        <f>IF(BQ245&gt;0,BQ245,W245)</f>
        <v>1000000</v>
      </c>
      <c r="CL245" s="20">
        <f>IF(BS245&gt;0,BS245,Y245)</f>
        <v>5</v>
      </c>
      <c r="CM245" s="34">
        <f>IF(CG245&gt;0,CG245,AM245)</f>
        <v>211120</v>
      </c>
      <c r="CN245" s="80">
        <f>IF($BH245="",1,COUNTIF($BH$3:$BH245,$BH245))</f>
        <v>1</v>
      </c>
      <c r="CP245" t="str">
        <f>IF($K245="Standard Match","Match",IF($K245="Name Only Match",IF($CO245="Yes","Match","Name Only Match"),"No Match"))</f>
        <v>Match</v>
      </c>
      <c r="CQ245" s="35" t="str">
        <f>IF(AND(CP245="Match",CK245&gt;0,CL245&gt;0),"Y","N")</f>
        <v>Y</v>
      </c>
      <c r="CS245" t="str">
        <f>IF($CQ245="Y",VLOOKUP($CM245,'SBA Size Standards'!$B$3:$G$57,MATCH('SBA Size Standards'!$G$3,'SBA Size Standards'!$B$3:$G$3,0),FALSE),"")</f>
        <v>Employment</v>
      </c>
      <c r="CT245" s="60" t="str">
        <f>IF(CQ245="Y",IF($CS245="Employment","N/A",VLOOKUP($CM245,'SBA Size Standards'!$B$3:$G$57,MATCH('SBA Size Standards'!$E$3,'SBA Size Standards'!$B$3:$G$3,0),FALSE)),"")</f>
        <v>N/A</v>
      </c>
      <c r="CU245" s="86">
        <f>IF($CQ245="Y",IF($CS245="Revenue","N/A",VLOOKUP($CM245,'SBA Size Standards'!$B$3:$G$57,MATCH('SBA Size Standards'!$F$3,'SBA Size Standards'!$B$3:$G$3,0),FALSE)),"")</f>
        <v>1250</v>
      </c>
      <c r="CV245" t="str">
        <f>IF($CQ245="Y",IF(OR(AND($CS245="Employment",$CL245&lt;$CU245),AND($CS245="Revenue",$CK245&lt;$CT245)),"YES","NO"),"")</f>
        <v>YES</v>
      </c>
      <c r="CW245" s="90" t="str">
        <f>IF($CQ245="Y",INDEX('SBA Size Standards'!$N$3:$N$12,MATCH($CK245,'SBA Size Standards'!$O$3:$O$12,1)),"")</f>
        <v>$500,001 - $1,000,000</v>
      </c>
      <c r="CX245" s="122" t="s">
        <v>4713</v>
      </c>
      <c r="CY245" s="122">
        <f>INDEX('NM O&amp;G Production'!$P$3:$P$537,MATCH(CX245,'NM O&amp;G Production'!$Q$3:$Q$537,0))</f>
        <v>382</v>
      </c>
      <c r="CZ245" s="122" t="str">
        <f>INDEX('NM O&amp;G Production'!$O$3:$O$537,MATCH(CY245,'NM O&amp;G Production'!$P$3:$P$537,0))</f>
        <v>Yes</v>
      </c>
      <c r="DA245" s="127">
        <f>INDEX('NM O&amp;G Production'!$K$3:$O$537,MATCH($CY245,'NM O&amp;G Production'!$P$3:$P$537,0),MATCH(DA$2,'NM O&amp;G Production'!$K$2:$O$2,0))</f>
        <v>1</v>
      </c>
      <c r="DB245" s="127">
        <f>INDEX('NM O&amp;G Production'!$K$3:$O$537,MATCH($CY245,'NM O&amp;G Production'!$P$3:$P$537,0),MATCH(DB$2,'NM O&amp;G Production'!$K$2:$O$2,0))</f>
        <v>17</v>
      </c>
      <c r="DC245" s="127">
        <f>DA245+DB245</f>
        <v>18</v>
      </c>
      <c r="DD245" s="127">
        <f>INDEX('NM O&amp;G Production'!$K$3:$O$537,MATCH($CY245,'NM O&amp;G Production'!$P$3:$P$537,0),MATCH(DD$2,'NM O&amp;G Production'!$K$2:$O$2,0))</f>
        <v>86117</v>
      </c>
      <c r="DE245" s="127">
        <f>INDEX('NM O&amp;G Production'!$K$3:$O$537,MATCH($CY245,'NM O&amp;G Production'!$P$3:$P$537,0),MATCH(DE$2,'NM O&amp;G Production'!$K$2:$O$2,0))</f>
        <v>268</v>
      </c>
      <c r="DF245" s="258">
        <f>CK245/(DB245+DA245)</f>
        <v>55555.555555555555</v>
      </c>
      <c r="DG245" s="57">
        <f>DD245*(12/18)*1.06*'Oil and Gas Prices'!$C$18</f>
        <v>145445.87186666665</v>
      </c>
      <c r="DH245" s="284">
        <f>DE245*(12/18)*'Oil and Gas Prices'!$C$4</f>
        <v>8040</v>
      </c>
      <c r="DI245" s="284">
        <f>DG245+DH245</f>
        <v>153485.87186666665</v>
      </c>
      <c r="DJ245" s="57">
        <f>(DG245+DH245)/(DA245+DB245)</f>
        <v>8526.9928814814812</v>
      </c>
      <c r="DK245" s="320"/>
    </row>
    <row r="246" spans="1:115" x14ac:dyDescent="0.25">
      <c r="A246" t="s">
        <v>1547</v>
      </c>
      <c r="B246" t="s">
        <v>1548</v>
      </c>
      <c r="D246" t="s">
        <v>153</v>
      </c>
      <c r="E246" t="s">
        <v>80</v>
      </c>
      <c r="F246">
        <v>79710</v>
      </c>
      <c r="G246" t="s">
        <v>62</v>
      </c>
      <c r="I246">
        <v>210</v>
      </c>
      <c r="J246" t="s">
        <v>63</v>
      </c>
      <c r="K246" t="s">
        <v>4133</v>
      </c>
      <c r="L246" t="s">
        <v>149</v>
      </c>
      <c r="M246">
        <v>10</v>
      </c>
      <c r="N246" t="s">
        <v>1549</v>
      </c>
      <c r="O246" t="s">
        <v>1550</v>
      </c>
      <c r="Q246" t="s">
        <v>1551</v>
      </c>
      <c r="R246" t="s">
        <v>153</v>
      </c>
      <c r="S246" t="s">
        <v>94</v>
      </c>
      <c r="T246">
        <v>79701</v>
      </c>
      <c r="U246" t="s">
        <v>62</v>
      </c>
      <c r="V246">
        <v>4326831448</v>
      </c>
      <c r="W246" s="1">
        <v>989440</v>
      </c>
      <c r="X246">
        <v>11</v>
      </c>
      <c r="Y246">
        <v>11</v>
      </c>
      <c r="Z246">
        <v>1986</v>
      </c>
      <c r="AA246" t="s">
        <v>70</v>
      </c>
      <c r="AB246" t="s">
        <v>1552</v>
      </c>
      <c r="AC246" t="s">
        <v>98</v>
      </c>
      <c r="AD246" t="s">
        <v>99</v>
      </c>
      <c r="AE246">
        <v>1311</v>
      </c>
      <c r="AF246" t="s">
        <v>100</v>
      </c>
      <c r="AI246">
        <v>13110101</v>
      </c>
      <c r="AJ246" t="s">
        <v>102</v>
      </c>
      <c r="AM246">
        <v>211120</v>
      </c>
      <c r="AN246" t="s">
        <v>104</v>
      </c>
      <c r="AQ246" t="s">
        <v>75</v>
      </c>
      <c r="AT246" t="s">
        <v>76</v>
      </c>
      <c r="BF246">
        <v>0</v>
      </c>
      <c r="BG246">
        <v>0</v>
      </c>
      <c r="CK246" s="19">
        <f>IF(BQ246&gt;0,BQ246,W246)</f>
        <v>989440</v>
      </c>
      <c r="CL246" s="20">
        <f>IF(BS246&gt;0,BS246,Y246)</f>
        <v>11</v>
      </c>
      <c r="CM246" s="34">
        <f>IF(CG246&gt;0,CG246,AM246)</f>
        <v>211120</v>
      </c>
      <c r="CN246" s="80">
        <f>IF($BH246="",1,COUNTIF($BH$3:$BH246,$BH246))</f>
        <v>1</v>
      </c>
      <c r="CP246" t="str">
        <f>IF($K246="Standard Match","Match",IF($K246="Name Only Match",IF($CO246="Yes","Match","Name Only Match"),"No Match"))</f>
        <v>Match</v>
      </c>
      <c r="CQ246" s="35" t="str">
        <f>IF(AND(CP246="Match",CK246&gt;0,CL246&gt;0),"Y","N")</f>
        <v>Y</v>
      </c>
      <c r="CS246" t="str">
        <f>IF($CQ246="Y",VLOOKUP($CM246,'SBA Size Standards'!$B$3:$G$57,MATCH('SBA Size Standards'!$G$3,'SBA Size Standards'!$B$3:$G$3,0),FALSE),"")</f>
        <v>Employment</v>
      </c>
      <c r="CT246" s="60" t="str">
        <f>IF(CQ246="Y",IF($CS246="Employment","N/A",VLOOKUP($CM246,'SBA Size Standards'!$B$3:$G$57,MATCH('SBA Size Standards'!$E$3,'SBA Size Standards'!$B$3:$G$3,0),FALSE)),"")</f>
        <v>N/A</v>
      </c>
      <c r="CU246" s="86">
        <f>IF($CQ246="Y",IF($CS246="Revenue","N/A",VLOOKUP($CM246,'SBA Size Standards'!$B$3:$G$57,MATCH('SBA Size Standards'!$F$3,'SBA Size Standards'!$B$3:$G$3,0),FALSE)),"")</f>
        <v>1250</v>
      </c>
      <c r="CV246" t="str">
        <f>IF($CQ246="Y",IF(OR(AND($CS246="Employment",$CL246&lt;$CU246),AND($CS246="Revenue",$CK246&lt;$CT246)),"YES","NO"),"")</f>
        <v>YES</v>
      </c>
      <c r="CW246" s="90" t="str">
        <f>IF($CQ246="Y",INDEX('SBA Size Standards'!$N$3:$N$12,MATCH($CK246,'SBA Size Standards'!$O$3:$O$12,1)),"")</f>
        <v>$500,001 - $1,000,000</v>
      </c>
      <c r="CX246" s="122" t="s">
        <v>4634</v>
      </c>
      <c r="CY246" s="122">
        <f>INDEX('NM O&amp;G Production'!$P$3:$P$537,MATCH(CX246,'NM O&amp;G Production'!$Q$3:$Q$537,0))</f>
        <v>210</v>
      </c>
      <c r="CZ246" s="122" t="str">
        <f>INDEX('NM O&amp;G Production'!$O$3:$O$537,MATCH(CY246,'NM O&amp;G Production'!$P$3:$P$537,0))</f>
        <v>Yes</v>
      </c>
      <c r="DA246" s="127">
        <f>INDEX('NM O&amp;G Production'!$K$3:$O$537,MATCH($CY246,'NM O&amp;G Production'!$P$3:$P$537,0),MATCH(DA$2,'NM O&amp;G Production'!$K$2:$O$2,0))</f>
        <v>2</v>
      </c>
      <c r="DB246" s="127">
        <f>INDEX('NM O&amp;G Production'!$K$3:$O$537,MATCH($CY246,'NM O&amp;G Production'!$P$3:$P$537,0),MATCH(DB$2,'NM O&amp;G Production'!$K$2:$O$2,0))</f>
        <v>28</v>
      </c>
      <c r="DC246" s="127">
        <f>DA246+DB246</f>
        <v>30</v>
      </c>
      <c r="DD246" s="127">
        <f>INDEX('NM O&amp;G Production'!$K$3:$O$537,MATCH($CY246,'NM O&amp;G Production'!$P$3:$P$537,0),MATCH(DD$2,'NM O&amp;G Production'!$K$2:$O$2,0))</f>
        <v>126833</v>
      </c>
      <c r="DE246" s="127">
        <f>INDEX('NM O&amp;G Production'!$K$3:$O$537,MATCH($CY246,'NM O&amp;G Production'!$P$3:$P$537,0),MATCH(DE$2,'NM O&amp;G Production'!$K$2:$O$2,0))</f>
        <v>8121</v>
      </c>
      <c r="DF246" s="258">
        <f>CK246/(DB246+DA246)</f>
        <v>32981.333333333336</v>
      </c>
      <c r="DG246" s="57">
        <f>DD246*(12/18)*1.06*'Oil and Gas Prices'!$C$18</f>
        <v>214212.48146666668</v>
      </c>
      <c r="DH246" s="284">
        <f>DE246*(12/18)*'Oil and Gas Prices'!$C$4</f>
        <v>243630</v>
      </c>
      <c r="DI246" s="284">
        <f>DG246+DH246</f>
        <v>457842.48146666668</v>
      </c>
      <c r="DJ246" s="57">
        <f>(DG246+DH246)/(DA246+DB246)</f>
        <v>15261.41604888889</v>
      </c>
      <c r="DK246" s="318"/>
    </row>
    <row r="247" spans="1:115" x14ac:dyDescent="0.25">
      <c r="A247" s="21" t="s">
        <v>2884</v>
      </c>
      <c r="B247" s="21" t="s">
        <v>2885</v>
      </c>
      <c r="C247" s="21"/>
      <c r="D247" s="21" t="s">
        <v>1035</v>
      </c>
      <c r="E247" s="21" t="s">
        <v>84</v>
      </c>
      <c r="F247">
        <v>87413</v>
      </c>
      <c r="G247" t="s">
        <v>62</v>
      </c>
      <c r="I247">
        <v>419</v>
      </c>
      <c r="J247" t="s">
        <v>63</v>
      </c>
      <c r="K247" t="s">
        <v>4134</v>
      </c>
      <c r="L247" t="s">
        <v>3627</v>
      </c>
      <c r="M247">
        <v>8</v>
      </c>
      <c r="N247" t="s">
        <v>3973</v>
      </c>
      <c r="O247" s="21" t="s">
        <v>3974</v>
      </c>
      <c r="P247" s="21"/>
      <c r="Q247" s="21" t="s">
        <v>3975</v>
      </c>
      <c r="R247" s="21" t="s">
        <v>60</v>
      </c>
      <c r="S247" s="21" t="s">
        <v>68</v>
      </c>
      <c r="T247" t="s">
        <v>3976</v>
      </c>
      <c r="U247" t="s">
        <v>62</v>
      </c>
      <c r="V247">
        <v>3037536333</v>
      </c>
      <c r="W247" s="23">
        <v>100000</v>
      </c>
      <c r="X247" s="21">
        <v>3</v>
      </c>
      <c r="Y247" s="21">
        <v>3</v>
      </c>
      <c r="Z247">
        <v>1990</v>
      </c>
      <c r="AA247" s="21" t="s">
        <v>70</v>
      </c>
      <c r="AB247" t="s">
        <v>3977</v>
      </c>
      <c r="AC247" t="s">
        <v>98</v>
      </c>
      <c r="AD247" s="21" t="s">
        <v>99</v>
      </c>
      <c r="AE247">
        <v>1311</v>
      </c>
      <c r="AF247" t="s">
        <v>100</v>
      </c>
      <c r="AG247">
        <v>7999</v>
      </c>
      <c r="AH247" t="s">
        <v>3978</v>
      </c>
      <c r="AI247">
        <v>13110000</v>
      </c>
      <c r="AJ247" t="s">
        <v>276</v>
      </c>
      <c r="AK247">
        <v>79991600</v>
      </c>
      <c r="AL247" t="s">
        <v>3979</v>
      </c>
      <c r="AM247" s="21">
        <v>211120</v>
      </c>
      <c r="AN247" s="21" t="s">
        <v>104</v>
      </c>
      <c r="AO247" s="21">
        <v>713990</v>
      </c>
      <c r="AP247" s="21" t="s">
        <v>3980</v>
      </c>
      <c r="AQ247" s="21" t="s">
        <v>168</v>
      </c>
      <c r="AR247" t="s">
        <v>3981</v>
      </c>
      <c r="AS247" t="s">
        <v>3982</v>
      </c>
      <c r="AT247" t="s">
        <v>76</v>
      </c>
      <c r="AU247" t="s">
        <v>61</v>
      </c>
      <c r="AV247" t="s">
        <v>62</v>
      </c>
      <c r="AW247" t="s">
        <v>3981</v>
      </c>
      <c r="AX247" t="s">
        <v>3982</v>
      </c>
      <c r="AY247" t="s">
        <v>61</v>
      </c>
      <c r="AZ247" t="s">
        <v>62</v>
      </c>
      <c r="BA247" t="s">
        <v>3981</v>
      </c>
      <c r="BC247" t="s">
        <v>3982</v>
      </c>
      <c r="BD247" t="s">
        <v>61</v>
      </c>
      <c r="BE247" t="s">
        <v>62</v>
      </c>
      <c r="BF247">
        <v>2</v>
      </c>
      <c r="BG247" s="24">
        <v>2</v>
      </c>
      <c r="BH247" s="24" t="s">
        <v>3981</v>
      </c>
      <c r="BI247" s="24" t="s">
        <v>3982</v>
      </c>
      <c r="BJ247" s="24"/>
      <c r="BK247" s="24" t="s">
        <v>3975</v>
      </c>
      <c r="BL247" s="24" t="s">
        <v>60</v>
      </c>
      <c r="BM247" s="24" t="s">
        <v>68</v>
      </c>
      <c r="BN247" s="24" t="s">
        <v>3976</v>
      </c>
      <c r="BO247" s="24" t="s">
        <v>62</v>
      </c>
      <c r="BP247" s="4">
        <v>3035736333</v>
      </c>
      <c r="BQ247" s="25">
        <v>941239</v>
      </c>
      <c r="BR247" s="24">
        <v>3</v>
      </c>
      <c r="BS247" s="24">
        <v>6</v>
      </c>
      <c r="BT247" s="4">
        <v>2009</v>
      </c>
      <c r="BU247" s="24" t="s">
        <v>163</v>
      </c>
      <c r="BV247" s="4" t="s">
        <v>4332</v>
      </c>
      <c r="BW247" s="4" t="s">
        <v>231</v>
      </c>
      <c r="BX247" s="24" t="s">
        <v>232</v>
      </c>
      <c r="BY247" s="4">
        <v>6512</v>
      </c>
      <c r="BZ247" s="4" t="s">
        <v>233</v>
      </c>
      <c r="CC247" s="4">
        <v>65120000</v>
      </c>
      <c r="CD247" s="4" t="s">
        <v>232</v>
      </c>
      <c r="CG247" s="24">
        <v>531312</v>
      </c>
      <c r="CH247" s="24" t="s">
        <v>234</v>
      </c>
      <c r="CI247" s="24"/>
      <c r="CJ247" s="24"/>
      <c r="CK247" s="19">
        <f>IF(BQ247&gt;0,BQ247,W247)</f>
        <v>941239</v>
      </c>
      <c r="CL247" s="20">
        <f>IF(BS247&gt;0,BS247,Y247)</f>
        <v>6</v>
      </c>
      <c r="CM247" s="34">
        <f>IF(CG247&gt;0,CG247,AM247)</f>
        <v>531312</v>
      </c>
      <c r="CN247" s="80">
        <f>IF($BH247="",1,COUNTIF($BH$3:$BH247,$BH247))</f>
        <v>1</v>
      </c>
      <c r="CO247" s="33" t="s">
        <v>4386</v>
      </c>
      <c r="CP247" t="str">
        <f>IF($K247="Standard Match","Match",IF($K247="Name Only Match",IF($CO247="Yes","Match","Name Only Match"),"No Match"))</f>
        <v>Match</v>
      </c>
      <c r="CQ247" s="35" t="str">
        <f>IF(AND(CP247="Match",CK247&gt;0,CL247&gt;0),"Y","N")</f>
        <v>Y</v>
      </c>
      <c r="CR247" s="21"/>
      <c r="CS247" t="str">
        <f>IF($CQ247="Y",VLOOKUP($CM247,'SBA Size Standards'!$B$3:$G$57,MATCH('SBA Size Standards'!$G$3,'SBA Size Standards'!$B$3:$G$3,0),FALSE),"")</f>
        <v>Revenue</v>
      </c>
      <c r="CT247" s="60">
        <f>IF(CQ247="Y",IF($CS247="Employment","N/A",VLOOKUP($CM247,'SBA Size Standards'!$B$3:$G$57,MATCH('SBA Size Standards'!$E$3,'SBA Size Standards'!$B$3:$G$3,0),FALSE)),"")</f>
        <v>8000000</v>
      </c>
      <c r="CU247" s="86" t="str">
        <f>IF($CQ247="Y",IF($CS247="Revenue","N/A",VLOOKUP($CM247,'SBA Size Standards'!$B$3:$G$57,MATCH('SBA Size Standards'!$F$3,'SBA Size Standards'!$B$3:$G$3,0),FALSE)),"")</f>
        <v>N/A</v>
      </c>
      <c r="CV247" t="str">
        <f>IF($CQ247="Y",IF(OR(AND($CS247="Employment",$CL247&lt;$CU247),AND($CS247="Revenue",$CK247&lt;$CT247)),"YES","NO"),"")</f>
        <v>YES</v>
      </c>
      <c r="CW247" s="90" t="str">
        <f>IF($CQ247="Y",INDEX('SBA Size Standards'!$N$3:$N$12,MATCH($CK247,'SBA Size Standards'!$O$3:$O$12,1)),"")</f>
        <v>$500,001 - $1,000,000</v>
      </c>
      <c r="CX247" s="122" t="s">
        <v>4994</v>
      </c>
      <c r="CY247" s="122">
        <f>INDEX('NM O&amp;G Production'!$P$3:$P$537,MATCH(CX247,'NM O&amp;G Production'!$Q$3:$Q$537,0))</f>
        <v>419</v>
      </c>
      <c r="CZ247" s="122" t="str">
        <f>INDEX('NM O&amp;G Production'!$O$3:$O$537,MATCH(CY247,'NM O&amp;G Production'!$P$3:$P$537,0))</f>
        <v>Yes</v>
      </c>
      <c r="DA247" s="127">
        <f>INDEX('NM O&amp;G Production'!$K$3:$O$537,MATCH($CY247,'NM O&amp;G Production'!$P$3:$P$537,0),MATCH(DA$2,'NM O&amp;G Production'!$K$2:$O$2,0))</f>
        <v>10</v>
      </c>
      <c r="DB247" s="127">
        <f>INDEX('NM O&amp;G Production'!$K$3:$O$537,MATCH($CY247,'NM O&amp;G Production'!$P$3:$P$537,0),MATCH(DB$2,'NM O&amp;G Production'!$K$2:$O$2,0))</f>
        <v>27</v>
      </c>
      <c r="DC247" s="127">
        <f>DA247+DB247</f>
        <v>37</v>
      </c>
      <c r="DD247" s="127">
        <f>INDEX('NM O&amp;G Production'!$K$3:$O$537,MATCH($CY247,'NM O&amp;G Production'!$P$3:$P$537,0),MATCH(DD$2,'NM O&amp;G Production'!$K$2:$O$2,0))</f>
        <v>663831</v>
      </c>
      <c r="DE247" s="127">
        <f>INDEX('NM O&amp;G Production'!$K$3:$O$537,MATCH($CY247,'NM O&amp;G Production'!$P$3:$P$537,0),MATCH(DE$2,'NM O&amp;G Production'!$K$2:$O$2,0))</f>
        <v>8419</v>
      </c>
      <c r="DF247" s="258">
        <f>CK247/(DB247+DA247)</f>
        <v>25438.891891891893</v>
      </c>
      <c r="DG247" s="57">
        <f>DD247*(12/18)*1.06*'Oil and Gas Prices'!$C$18</f>
        <v>1121166.3036000002</v>
      </c>
      <c r="DH247" s="284">
        <f>DE247*(12/18)*'Oil and Gas Prices'!$C$4</f>
        <v>252569.99999999997</v>
      </c>
      <c r="DI247" s="284">
        <f>DG247+DH247</f>
        <v>1373736.3036000002</v>
      </c>
      <c r="DJ247" s="57">
        <f>(DG247+DH247)/(DA247+DB247)</f>
        <v>37128.008205405415</v>
      </c>
      <c r="DK247" s="318"/>
    </row>
    <row r="248" spans="1:115" x14ac:dyDescent="0.25">
      <c r="A248" t="s">
        <v>2429</v>
      </c>
      <c r="B248" t="s">
        <v>2430</v>
      </c>
      <c r="D248" t="s">
        <v>153</v>
      </c>
      <c r="E248" t="s">
        <v>80</v>
      </c>
      <c r="F248">
        <v>79701</v>
      </c>
      <c r="G248" t="s">
        <v>62</v>
      </c>
      <c r="I248">
        <v>347</v>
      </c>
      <c r="J248" t="s">
        <v>404</v>
      </c>
      <c r="K248" t="s">
        <v>4133</v>
      </c>
      <c r="L248" t="s">
        <v>64</v>
      </c>
      <c r="M248">
        <v>10</v>
      </c>
      <c r="N248" t="s">
        <v>2431</v>
      </c>
      <c r="O248" t="s">
        <v>2432</v>
      </c>
      <c r="Q248" t="s">
        <v>2433</v>
      </c>
      <c r="R248" t="s">
        <v>153</v>
      </c>
      <c r="S248" t="s">
        <v>94</v>
      </c>
      <c r="T248" t="s">
        <v>722</v>
      </c>
      <c r="U248" t="s">
        <v>62</v>
      </c>
      <c r="V248">
        <v>4326834768</v>
      </c>
      <c r="W248" s="1">
        <v>870000</v>
      </c>
      <c r="X248">
        <v>9</v>
      </c>
      <c r="Y248">
        <v>9</v>
      </c>
      <c r="Z248">
        <v>1987</v>
      </c>
      <c r="AA248" t="s">
        <v>70</v>
      </c>
      <c r="AD248" t="s">
        <v>99</v>
      </c>
      <c r="AE248">
        <v>1311</v>
      </c>
      <c r="AF248" t="s">
        <v>100</v>
      </c>
      <c r="AI248">
        <v>13110000</v>
      </c>
      <c r="AJ248" t="s">
        <v>276</v>
      </c>
      <c r="AM248">
        <v>211120</v>
      </c>
      <c r="AN248" t="s">
        <v>104</v>
      </c>
      <c r="AQ248" t="s">
        <v>75</v>
      </c>
      <c r="AT248" t="s">
        <v>76</v>
      </c>
      <c r="BF248">
        <v>0</v>
      </c>
      <c r="BG248">
        <v>0</v>
      </c>
      <c r="CK248" s="19">
        <f>IF(BQ248&gt;0,BQ248,W248)</f>
        <v>870000</v>
      </c>
      <c r="CL248" s="20">
        <f>IF(BS248&gt;0,BS248,Y248)</f>
        <v>9</v>
      </c>
      <c r="CM248" s="34">
        <f>IF(CG248&gt;0,CG248,AM248)</f>
        <v>211120</v>
      </c>
      <c r="CN248" s="80">
        <f>IF($BH248="",1,COUNTIF($BH$3:$BH248,$BH248))</f>
        <v>1</v>
      </c>
      <c r="CP248" t="str">
        <f>IF($K248="Standard Match","Match",IF($K248="Name Only Match",IF($CO248="Yes","Match","Name Only Match"),"No Match"))</f>
        <v>Match</v>
      </c>
      <c r="CQ248" s="35" t="str">
        <f>IF(AND(CP248="Match",CK248&gt;0,CL248&gt;0),"Y","N")</f>
        <v>Y</v>
      </c>
      <c r="CS248" t="str">
        <f>IF($CQ248="Y",VLOOKUP($CM248,'SBA Size Standards'!$B$3:$G$57,MATCH('SBA Size Standards'!$G$3,'SBA Size Standards'!$B$3:$G$3,0),FALSE),"")</f>
        <v>Employment</v>
      </c>
      <c r="CT248" s="60" t="str">
        <f>IF(CQ248="Y",IF($CS248="Employment","N/A",VLOOKUP($CM248,'SBA Size Standards'!$B$3:$G$57,MATCH('SBA Size Standards'!$E$3,'SBA Size Standards'!$B$3:$G$3,0),FALSE)),"")</f>
        <v>N/A</v>
      </c>
      <c r="CU248" s="86">
        <f>IF($CQ248="Y",IF($CS248="Revenue","N/A",VLOOKUP($CM248,'SBA Size Standards'!$B$3:$G$57,MATCH('SBA Size Standards'!$F$3,'SBA Size Standards'!$B$3:$G$3,0),FALSE)),"")</f>
        <v>1250</v>
      </c>
      <c r="CV248" t="str">
        <f>IF($CQ248="Y",IF(OR(AND($CS248="Employment",$CL248&lt;$CU248),AND($CS248="Revenue",$CK248&lt;$CT248)),"YES","NO"),"")</f>
        <v>YES</v>
      </c>
      <c r="CW248" s="90" t="str">
        <f>IF($CQ248="Y",INDEX('SBA Size Standards'!$N$3:$N$12,MATCH($CK248,'SBA Size Standards'!$O$3:$O$12,1)),"")</f>
        <v>$500,001 - $1,000,000</v>
      </c>
      <c r="CX248" s="122" t="s">
        <v>4696</v>
      </c>
      <c r="CY248" s="122">
        <f>INDEX('NM O&amp;G Production'!$P$3:$P$537,MATCH(CX248,'NM O&amp;G Production'!$Q$3:$Q$537,0))</f>
        <v>347</v>
      </c>
      <c r="CZ248" s="122" t="str">
        <f>INDEX('NM O&amp;G Production'!$O$3:$O$537,MATCH(CY248,'NM O&amp;G Production'!$P$3:$P$537,0))</f>
        <v>No</v>
      </c>
      <c r="DA248" s="127">
        <f>INDEX('NM O&amp;G Production'!$K$3:$O$537,MATCH($CY248,'NM O&amp;G Production'!$P$3:$P$537,0),MATCH(DA$2,'NM O&amp;G Production'!$K$2:$O$2,0))</f>
        <v>0</v>
      </c>
      <c r="DB248" s="127">
        <f>INDEX('NM O&amp;G Production'!$K$3:$O$537,MATCH($CY248,'NM O&amp;G Production'!$P$3:$P$537,0),MATCH(DB$2,'NM O&amp;G Production'!$K$2:$O$2,0))</f>
        <v>0</v>
      </c>
      <c r="DC248" s="127"/>
      <c r="DD248" s="127">
        <f>INDEX('NM O&amp;G Production'!$K$3:$O$537,MATCH($CY248,'NM O&amp;G Production'!$P$3:$P$537,0),MATCH(DD$2,'NM O&amp;G Production'!$K$2:$O$2,0))</f>
        <v>0</v>
      </c>
      <c r="DE248" s="127">
        <f>INDEX('NM O&amp;G Production'!$K$3:$O$537,MATCH($CY248,'NM O&amp;G Production'!$P$3:$P$537,0),MATCH(DE$2,'NM O&amp;G Production'!$K$2:$O$2,0))</f>
        <v>0</v>
      </c>
      <c r="DF248" s="258" t="e">
        <f>CK248/(DB248+DA248)</f>
        <v>#DIV/0!</v>
      </c>
      <c r="DG248" s="57">
        <f>DD248*(12/18)*1.06*'Oil and Gas Prices'!$C$18</f>
        <v>0</v>
      </c>
      <c r="DH248" s="284">
        <f>DE248*(12/18)*'Oil and Gas Prices'!$C$4</f>
        <v>0</v>
      </c>
      <c r="DI248" s="284"/>
      <c r="DJ248" s="57" t="e">
        <f>(DG248+DH248)/(DA248+DB248)</f>
        <v>#DIV/0!</v>
      </c>
      <c r="DK248" s="18" t="e">
        <f>CK248/DI248</f>
        <v>#DIV/0!</v>
      </c>
    </row>
    <row r="249" spans="1:115" x14ac:dyDescent="0.25">
      <c r="A249" t="s">
        <v>991</v>
      </c>
      <c r="B249" t="s">
        <v>992</v>
      </c>
      <c r="D249" t="s">
        <v>153</v>
      </c>
      <c r="E249" t="s">
        <v>80</v>
      </c>
      <c r="F249">
        <v>79701</v>
      </c>
      <c r="G249" t="s">
        <v>62</v>
      </c>
      <c r="I249">
        <v>131</v>
      </c>
      <c r="J249" t="s">
        <v>63</v>
      </c>
      <c r="K249" t="s">
        <v>4133</v>
      </c>
      <c r="L249" t="s">
        <v>279</v>
      </c>
      <c r="M249">
        <v>8</v>
      </c>
      <c r="N249" t="s">
        <v>993</v>
      </c>
      <c r="O249" t="s">
        <v>994</v>
      </c>
      <c r="Q249" t="s">
        <v>448</v>
      </c>
      <c r="R249" t="s">
        <v>153</v>
      </c>
      <c r="S249" t="s">
        <v>94</v>
      </c>
      <c r="T249" t="s">
        <v>449</v>
      </c>
      <c r="U249" t="s">
        <v>62</v>
      </c>
      <c r="V249">
        <v>9156839290</v>
      </c>
      <c r="W249" s="1">
        <v>868897</v>
      </c>
      <c r="X249">
        <v>5</v>
      </c>
      <c r="Y249">
        <v>5</v>
      </c>
      <c r="Z249">
        <v>1979</v>
      </c>
      <c r="AA249" t="s">
        <v>70</v>
      </c>
      <c r="AB249" t="s">
        <v>995</v>
      </c>
      <c r="AC249" t="s">
        <v>98</v>
      </c>
      <c r="AD249" t="s">
        <v>99</v>
      </c>
      <c r="AE249">
        <v>1311</v>
      </c>
      <c r="AF249" t="s">
        <v>100</v>
      </c>
      <c r="AI249">
        <v>13110101</v>
      </c>
      <c r="AJ249" t="s">
        <v>102</v>
      </c>
      <c r="AM249">
        <v>211120</v>
      </c>
      <c r="AN249" t="s">
        <v>104</v>
      </c>
      <c r="AQ249" t="s">
        <v>75</v>
      </c>
      <c r="AT249" t="s">
        <v>76</v>
      </c>
      <c r="BF249">
        <v>0</v>
      </c>
      <c r="BG249">
        <v>0</v>
      </c>
      <c r="CK249" s="19">
        <f>IF(BQ249&gt;0,BQ249,W249)</f>
        <v>868897</v>
      </c>
      <c r="CL249" s="20">
        <f>IF(BS249&gt;0,BS249,Y249)</f>
        <v>5</v>
      </c>
      <c r="CM249" s="34">
        <f>IF(CG249&gt;0,CG249,AM249)</f>
        <v>211120</v>
      </c>
      <c r="CN249" s="80">
        <f>IF($BH249="",1,COUNTIF($BH$3:$BH249,$BH249))</f>
        <v>1</v>
      </c>
      <c r="CP249" t="str">
        <f>IF($K249="Standard Match","Match",IF($K249="Name Only Match",IF($CO249="Yes","Match","Name Only Match"),"No Match"))</f>
        <v>Match</v>
      </c>
      <c r="CQ249" s="35" t="str">
        <f>IF(AND(CP249="Match",CK249&gt;0,CL249&gt;0),"Y","N")</f>
        <v>Y</v>
      </c>
      <c r="CS249" t="str">
        <f>IF($CQ249="Y",VLOOKUP($CM249,'SBA Size Standards'!$B$3:$G$57,MATCH('SBA Size Standards'!$G$3,'SBA Size Standards'!$B$3:$G$3,0),FALSE),"")</f>
        <v>Employment</v>
      </c>
      <c r="CT249" s="60" t="str">
        <f>IF(CQ249="Y",IF($CS249="Employment","N/A",VLOOKUP($CM249,'SBA Size Standards'!$B$3:$G$57,MATCH('SBA Size Standards'!$E$3,'SBA Size Standards'!$B$3:$G$3,0),FALSE)),"")</f>
        <v>N/A</v>
      </c>
      <c r="CU249" s="86">
        <f>IF($CQ249="Y",IF($CS249="Revenue","N/A",VLOOKUP($CM249,'SBA Size Standards'!$B$3:$G$57,MATCH('SBA Size Standards'!$F$3,'SBA Size Standards'!$B$3:$G$3,0),FALSE)),"")</f>
        <v>1250</v>
      </c>
      <c r="CV249" t="str">
        <f>IF($CQ249="Y",IF(OR(AND($CS249="Employment",$CL249&lt;$CU249),AND($CS249="Revenue",$CK249&lt;$CT249)),"YES","NO"),"")</f>
        <v>YES</v>
      </c>
      <c r="CW249" s="90" t="str">
        <f>IF($CQ249="Y",INDEX('SBA Size Standards'!$N$3:$N$12,MATCH($CK249,'SBA Size Standards'!$O$3:$O$12,1)),"")</f>
        <v>$500,001 - $1,000,000</v>
      </c>
      <c r="CX249" s="122" t="s">
        <v>4833</v>
      </c>
      <c r="CY249" s="122">
        <f>INDEX('NM O&amp;G Production'!$P$3:$P$537,MATCH(CX249,'NM O&amp;G Production'!$Q$3:$Q$537,0))</f>
        <v>131</v>
      </c>
      <c r="CZ249" s="122" t="str">
        <f>INDEX('NM O&amp;G Production'!$O$3:$O$537,MATCH(CY249,'NM O&amp;G Production'!$P$3:$P$537,0))</f>
        <v>Yes</v>
      </c>
      <c r="DA249" s="127">
        <f>INDEX('NM O&amp;G Production'!$K$3:$O$537,MATCH($CY249,'NM O&amp;G Production'!$P$3:$P$537,0),MATCH(DA$2,'NM O&amp;G Production'!$K$2:$O$2,0))</f>
        <v>1</v>
      </c>
      <c r="DB249" s="127">
        <f>INDEX('NM O&amp;G Production'!$K$3:$O$537,MATCH($CY249,'NM O&amp;G Production'!$P$3:$P$537,0),MATCH(DB$2,'NM O&amp;G Production'!$K$2:$O$2,0))</f>
        <v>0</v>
      </c>
      <c r="DC249" s="127">
        <f>DA249+DB249</f>
        <v>1</v>
      </c>
      <c r="DD249" s="127">
        <f>INDEX('NM O&amp;G Production'!$K$3:$O$537,MATCH($CY249,'NM O&amp;G Production'!$P$3:$P$537,0),MATCH(DD$2,'NM O&amp;G Production'!$K$2:$O$2,0))</f>
        <v>0</v>
      </c>
      <c r="DE249" s="127">
        <f>INDEX('NM O&amp;G Production'!$K$3:$O$537,MATCH($CY249,'NM O&amp;G Production'!$P$3:$P$537,0),MATCH(DE$2,'NM O&amp;G Production'!$K$2:$O$2,0))</f>
        <v>965</v>
      </c>
      <c r="DF249" s="258">
        <f>CK249/(DB249+DA249)</f>
        <v>868897</v>
      </c>
      <c r="DG249" s="57">
        <f>DD249*(12/18)*1.06*'Oil and Gas Prices'!$C$18</f>
        <v>0</v>
      </c>
      <c r="DH249" s="284">
        <f>DE249*(12/18)*'Oil and Gas Prices'!$C$4</f>
        <v>28949.999999999996</v>
      </c>
      <c r="DI249" s="284">
        <f>DG249+DH249</f>
        <v>28949.999999999996</v>
      </c>
      <c r="DJ249" s="57">
        <f>(DG249+DH249)/(DA249+DB249)</f>
        <v>28949.999999999996</v>
      </c>
      <c r="DK249" s="319"/>
    </row>
    <row r="250" spans="1:115" x14ac:dyDescent="0.25">
      <c r="A250" s="21" t="s">
        <v>2359</v>
      </c>
      <c r="B250" s="21" t="s">
        <v>2360</v>
      </c>
      <c r="C250" s="21"/>
      <c r="D250" s="21" t="s">
        <v>112</v>
      </c>
      <c r="E250" s="21" t="s">
        <v>80</v>
      </c>
      <c r="F250">
        <v>77019</v>
      </c>
      <c r="G250" t="s">
        <v>62</v>
      </c>
      <c r="I250">
        <v>333</v>
      </c>
      <c r="J250" t="s">
        <v>63</v>
      </c>
      <c r="K250" t="s">
        <v>4134</v>
      </c>
      <c r="L250" t="s">
        <v>3627</v>
      </c>
      <c r="M250">
        <v>8</v>
      </c>
      <c r="N250" t="s">
        <v>3685</v>
      </c>
      <c r="O250" s="21" t="s">
        <v>3686</v>
      </c>
      <c r="P250" s="21"/>
      <c r="Q250" s="21" t="s">
        <v>3687</v>
      </c>
      <c r="R250" s="21" t="s">
        <v>112</v>
      </c>
      <c r="S250" s="21" t="s">
        <v>94</v>
      </c>
      <c r="T250" t="s">
        <v>3688</v>
      </c>
      <c r="U250" t="s">
        <v>62</v>
      </c>
      <c r="V250">
        <v>7135201555</v>
      </c>
      <c r="W250" s="23">
        <v>861811</v>
      </c>
      <c r="X250" s="21">
        <v>5</v>
      </c>
      <c r="Y250" s="21">
        <v>5</v>
      </c>
      <c r="Z250">
        <v>1984</v>
      </c>
      <c r="AA250" s="21" t="s">
        <v>70</v>
      </c>
      <c r="AB250" t="s">
        <v>3689</v>
      </c>
      <c r="AC250" t="s">
        <v>98</v>
      </c>
      <c r="AD250" s="21" t="s">
        <v>517</v>
      </c>
      <c r="AE250">
        <v>1381</v>
      </c>
      <c r="AF250" t="s">
        <v>518</v>
      </c>
      <c r="AI250">
        <v>13810000</v>
      </c>
      <c r="AJ250" t="s">
        <v>519</v>
      </c>
      <c r="AM250" s="21">
        <v>213111</v>
      </c>
      <c r="AN250" s="21" t="s">
        <v>518</v>
      </c>
      <c r="AO250" s="21"/>
      <c r="AP250" s="21"/>
      <c r="AQ250" s="21" t="s">
        <v>75</v>
      </c>
      <c r="AT250" t="s">
        <v>76</v>
      </c>
      <c r="BF250">
        <v>0</v>
      </c>
      <c r="BG250" s="24">
        <v>0</v>
      </c>
      <c r="BH250" s="24"/>
      <c r="BI250" s="24"/>
      <c r="BJ250" s="24"/>
      <c r="BK250" s="24"/>
      <c r="BL250" s="24"/>
      <c r="BM250" s="24"/>
      <c r="BN250" s="24"/>
      <c r="BO250" s="24"/>
      <c r="BQ250" s="24"/>
      <c r="BR250" s="24"/>
      <c r="BS250" s="24"/>
      <c r="BU250" s="24"/>
      <c r="BX250" s="24"/>
      <c r="CG250" s="24"/>
      <c r="CH250" s="24"/>
      <c r="CI250" s="24"/>
      <c r="CJ250" s="24"/>
      <c r="CK250" s="19">
        <f>IF(BQ250&gt;0,BQ250,W250)</f>
        <v>861811</v>
      </c>
      <c r="CL250" s="20">
        <f>IF(BS250&gt;0,BS250,Y250)</f>
        <v>5</v>
      </c>
      <c r="CM250" s="34">
        <f>IF(CG250&gt;0,CG250,AM250)</f>
        <v>213111</v>
      </c>
      <c r="CN250" s="80">
        <f>IF($BH250="",1,COUNTIF($BH$3:$BH250,$BH250))</f>
        <v>1</v>
      </c>
      <c r="CO250" s="33" t="s">
        <v>4386</v>
      </c>
      <c r="CP250" t="str">
        <f>IF($K250="Standard Match","Match",IF($K250="Name Only Match",IF($CO250="Yes","Match","Name Only Match"),"No Match"))</f>
        <v>Match</v>
      </c>
      <c r="CQ250" s="35" t="str">
        <f>IF(AND(CP250="Match",CK250&gt;0,CL250&gt;0),"Y","N")</f>
        <v>Y</v>
      </c>
      <c r="CR250" s="21"/>
      <c r="CS250" t="str">
        <f>IF($CQ250="Y",VLOOKUP($CM250,'SBA Size Standards'!$B$3:$G$57,MATCH('SBA Size Standards'!$G$3,'SBA Size Standards'!$B$3:$G$3,0),FALSE),"")</f>
        <v>Employment</v>
      </c>
      <c r="CT250" s="60" t="str">
        <f>IF(CQ250="Y",IF($CS250="Employment","N/A",VLOOKUP($CM250,'SBA Size Standards'!$B$3:$G$57,MATCH('SBA Size Standards'!$E$3,'SBA Size Standards'!$B$3:$G$3,0),FALSE)),"")</f>
        <v>N/A</v>
      </c>
      <c r="CU250" s="86">
        <f>IF($CQ250="Y",IF($CS250="Revenue","N/A",VLOOKUP($CM250,'SBA Size Standards'!$B$3:$G$57,MATCH('SBA Size Standards'!$F$3,'SBA Size Standards'!$B$3:$G$3,0),FALSE)),"")</f>
        <v>1000</v>
      </c>
      <c r="CV250" t="str">
        <f>IF($CQ250="Y",IF(OR(AND($CS250="Employment",$CL250&lt;$CU250),AND($CS250="Revenue",$CK250&lt;$CT250)),"YES","NO"),"")</f>
        <v>YES</v>
      </c>
      <c r="CW250" s="90" t="str">
        <f>IF($CQ250="Y",INDEX('SBA Size Standards'!$N$3:$N$12,MATCH($CK250,'SBA Size Standards'!$O$3:$O$12,1)),"")</f>
        <v>$500,001 - $1,000,000</v>
      </c>
      <c r="CX250" s="122" t="s">
        <v>4982</v>
      </c>
      <c r="CY250" s="122">
        <f>INDEX('NM O&amp;G Production'!$P$3:$P$537,MATCH(CX250,'NM O&amp;G Production'!$Q$3:$Q$537,0))</f>
        <v>333</v>
      </c>
      <c r="CZ250" s="122" t="str">
        <f>INDEX('NM O&amp;G Production'!$O$3:$O$537,MATCH(CY250,'NM O&amp;G Production'!$P$3:$P$537,0))</f>
        <v>Yes</v>
      </c>
      <c r="DA250" s="127">
        <f>INDEX('NM O&amp;G Production'!$K$3:$O$537,MATCH($CY250,'NM O&amp;G Production'!$P$3:$P$537,0),MATCH(DA$2,'NM O&amp;G Production'!$K$2:$O$2,0))</f>
        <v>0</v>
      </c>
      <c r="DB250" s="127">
        <f>INDEX('NM O&amp;G Production'!$K$3:$O$537,MATCH($CY250,'NM O&amp;G Production'!$P$3:$P$537,0),MATCH(DB$2,'NM O&amp;G Production'!$K$2:$O$2,0))</f>
        <v>13</v>
      </c>
      <c r="DC250" s="127">
        <f>DA250+DB250</f>
        <v>13</v>
      </c>
      <c r="DD250" s="127">
        <f>INDEX('NM O&amp;G Production'!$K$3:$O$537,MATCH($CY250,'NM O&amp;G Production'!$P$3:$P$537,0),MATCH(DD$2,'NM O&amp;G Production'!$K$2:$O$2,0))</f>
        <v>25670</v>
      </c>
      <c r="DE250" s="127">
        <f>INDEX('NM O&amp;G Production'!$K$3:$O$537,MATCH($CY250,'NM O&amp;G Production'!$P$3:$P$537,0),MATCH(DE$2,'NM O&amp;G Production'!$K$2:$O$2,0))</f>
        <v>4380</v>
      </c>
      <c r="DF250" s="258">
        <f>CK250/(DB250+DA250)</f>
        <v>66293.153846153844</v>
      </c>
      <c r="DG250" s="57">
        <f>DD250*(12/18)*1.06*'Oil and Gas Prices'!$C$18</f>
        <v>43354.918666666665</v>
      </c>
      <c r="DH250" s="284">
        <f>DE250*(12/18)*'Oil and Gas Prices'!$C$4</f>
        <v>131400</v>
      </c>
      <c r="DI250" s="284">
        <f>DG250+DH250</f>
        <v>174754.91866666666</v>
      </c>
      <c r="DJ250" s="57">
        <f>(DG250+DH250)/(DA250+DB250)</f>
        <v>13442.686051282051</v>
      </c>
      <c r="DK250" s="319"/>
    </row>
    <row r="251" spans="1:115" x14ac:dyDescent="0.25">
      <c r="A251" t="s">
        <v>1462</v>
      </c>
      <c r="B251" t="s">
        <v>1463</v>
      </c>
      <c r="D251" t="s">
        <v>209</v>
      </c>
      <c r="E251" t="s">
        <v>84</v>
      </c>
      <c r="F251">
        <v>88202</v>
      </c>
      <c r="G251" t="s">
        <v>62</v>
      </c>
      <c r="I251">
        <v>197</v>
      </c>
      <c r="J251" t="s">
        <v>63</v>
      </c>
      <c r="K251" t="s">
        <v>4133</v>
      </c>
      <c r="L251" t="s">
        <v>149</v>
      </c>
      <c r="M251">
        <v>10</v>
      </c>
      <c r="N251" t="s">
        <v>1464</v>
      </c>
      <c r="O251" t="s">
        <v>1465</v>
      </c>
      <c r="Q251" t="s">
        <v>1466</v>
      </c>
      <c r="R251" t="s">
        <v>209</v>
      </c>
      <c r="S251" t="s">
        <v>214</v>
      </c>
      <c r="T251" t="s">
        <v>1467</v>
      </c>
      <c r="U251" t="s">
        <v>62</v>
      </c>
      <c r="V251">
        <v>5756227330</v>
      </c>
      <c r="W251" s="1">
        <v>861008</v>
      </c>
      <c r="X251">
        <v>5</v>
      </c>
      <c r="Y251">
        <v>5</v>
      </c>
      <c r="Z251">
        <v>1946</v>
      </c>
      <c r="AA251" t="s">
        <v>70</v>
      </c>
      <c r="AB251" t="s">
        <v>1468</v>
      </c>
      <c r="AC251" t="s">
        <v>98</v>
      </c>
      <c r="AD251" t="s">
        <v>99</v>
      </c>
      <c r="AE251">
        <v>1311</v>
      </c>
      <c r="AF251" t="s">
        <v>100</v>
      </c>
      <c r="AI251">
        <v>13110101</v>
      </c>
      <c r="AJ251" t="s">
        <v>102</v>
      </c>
      <c r="AM251">
        <v>211120</v>
      </c>
      <c r="AN251" t="s">
        <v>104</v>
      </c>
      <c r="AQ251" t="s">
        <v>75</v>
      </c>
      <c r="AT251" t="s">
        <v>76</v>
      </c>
      <c r="BF251">
        <v>0</v>
      </c>
      <c r="CK251" s="19">
        <f>IF(BQ251&gt;0,BQ251,W251)</f>
        <v>861008</v>
      </c>
      <c r="CL251" s="20">
        <f>IF(BS251&gt;0,BS251,Y251)</f>
        <v>5</v>
      </c>
      <c r="CM251" s="34">
        <f>IF(CG251&gt;0,CG251,AM251)</f>
        <v>211120</v>
      </c>
      <c r="CN251" s="80">
        <f>IF($BH251="",1,COUNTIF($BH$3:$BH251,$BH251))</f>
        <v>1</v>
      </c>
      <c r="CP251" t="str">
        <f>IF($K251="Standard Match","Match",IF($K251="Name Only Match",IF($CO251="Yes","Match","Name Only Match"),"No Match"))</f>
        <v>Match</v>
      </c>
      <c r="CQ251" s="35" t="str">
        <f>IF(AND(CP251="Match",CK251&gt;0,CL251&gt;0),"Y","N")</f>
        <v>Y</v>
      </c>
      <c r="CS251" t="str">
        <f>IF($CQ251="Y",VLOOKUP($CM251,'SBA Size Standards'!$B$3:$G$57,MATCH('SBA Size Standards'!$G$3,'SBA Size Standards'!$B$3:$G$3,0),FALSE),"")</f>
        <v>Employment</v>
      </c>
      <c r="CT251" s="60" t="str">
        <f>IF(CQ251="Y",IF($CS251="Employment","N/A",VLOOKUP($CM251,'SBA Size Standards'!$B$3:$G$57,MATCH('SBA Size Standards'!$E$3,'SBA Size Standards'!$B$3:$G$3,0),FALSE)),"")</f>
        <v>N/A</v>
      </c>
      <c r="CU251" s="86">
        <f>IF($CQ251="Y",IF($CS251="Revenue","N/A",VLOOKUP($CM251,'SBA Size Standards'!$B$3:$G$57,MATCH('SBA Size Standards'!$F$3,'SBA Size Standards'!$B$3:$G$3,0),FALSE)),"")</f>
        <v>1250</v>
      </c>
      <c r="CV251" t="str">
        <f>IF($CQ251="Y",IF(OR(AND($CS251="Employment",$CL251&lt;$CU251),AND($CS251="Revenue",$CK251&lt;$CT251)),"YES","NO"),"")</f>
        <v>YES</v>
      </c>
      <c r="CW251" s="90" t="str">
        <f>IF($CQ251="Y",INDEX('SBA Size Standards'!$N$3:$N$12,MATCH($CK251,'SBA Size Standards'!$O$3:$O$12,1)),"")</f>
        <v>$500,001 - $1,000,000</v>
      </c>
      <c r="CX251" s="122" t="s">
        <v>4624</v>
      </c>
      <c r="CY251" s="122">
        <f>INDEX('NM O&amp;G Production'!$P$3:$P$537,MATCH(CX251,'NM O&amp;G Production'!$Q$3:$Q$537,0))</f>
        <v>197</v>
      </c>
      <c r="CZ251" s="122" t="str">
        <f>INDEX('NM O&amp;G Production'!$O$3:$O$537,MATCH(CY251,'NM O&amp;G Production'!$P$3:$P$537,0))</f>
        <v>Yes</v>
      </c>
      <c r="DA251" s="127">
        <f>INDEX('NM O&amp;G Production'!$K$3:$O$537,MATCH($CY251,'NM O&amp;G Production'!$P$3:$P$537,0),MATCH(DA$2,'NM O&amp;G Production'!$K$2:$O$2,0))</f>
        <v>1</v>
      </c>
      <c r="DB251" s="127">
        <f>INDEX('NM O&amp;G Production'!$K$3:$O$537,MATCH($CY251,'NM O&amp;G Production'!$P$3:$P$537,0),MATCH(DB$2,'NM O&amp;G Production'!$K$2:$O$2,0))</f>
        <v>31</v>
      </c>
      <c r="DC251" s="127">
        <f>DA251+DB251</f>
        <v>32</v>
      </c>
      <c r="DD251" s="127">
        <f>INDEX('NM O&amp;G Production'!$K$3:$O$537,MATCH($CY251,'NM O&amp;G Production'!$P$3:$P$537,0),MATCH(DD$2,'NM O&amp;G Production'!$K$2:$O$2,0))</f>
        <v>154438</v>
      </c>
      <c r="DE251" s="127">
        <f>INDEX('NM O&amp;G Production'!$K$3:$O$537,MATCH($CY251,'NM O&amp;G Production'!$P$3:$P$537,0),MATCH(DE$2,'NM O&amp;G Production'!$K$2:$O$2,0))</f>
        <v>22766</v>
      </c>
      <c r="DF251" s="258">
        <f>CK251/(DB251+DA251)</f>
        <v>26906.5</v>
      </c>
      <c r="DG251" s="57">
        <f>DD251*(12/18)*1.06*'Oil and Gas Prices'!$C$18</f>
        <v>260835.48613333332</v>
      </c>
      <c r="DH251" s="284">
        <f>DE251*(12/18)*'Oil and Gas Prices'!$C$4</f>
        <v>682980</v>
      </c>
      <c r="DI251" s="284">
        <f>DG251+DH251</f>
        <v>943815.4861333333</v>
      </c>
      <c r="DJ251" s="57">
        <f>(DG251+DH251)/(DA251+DB251)</f>
        <v>29494.233941666665</v>
      </c>
      <c r="DK251" s="318"/>
    </row>
    <row r="252" spans="1:115" x14ac:dyDescent="0.25">
      <c r="A252" t="s">
        <v>2209</v>
      </c>
      <c r="B252" t="s">
        <v>2210</v>
      </c>
      <c r="D252" t="s">
        <v>161</v>
      </c>
      <c r="E252" t="s">
        <v>80</v>
      </c>
      <c r="F252">
        <v>77387</v>
      </c>
      <c r="G252" t="s">
        <v>62</v>
      </c>
      <c r="I252">
        <v>312</v>
      </c>
      <c r="J252" t="s">
        <v>404</v>
      </c>
      <c r="K252" t="s">
        <v>4133</v>
      </c>
      <c r="L252" t="s">
        <v>149</v>
      </c>
      <c r="M252">
        <v>10</v>
      </c>
      <c r="N252" t="s">
        <v>2211</v>
      </c>
      <c r="O252" t="s">
        <v>2212</v>
      </c>
      <c r="R252" t="s">
        <v>2213</v>
      </c>
      <c r="S252" t="s">
        <v>94</v>
      </c>
      <c r="T252">
        <v>76950</v>
      </c>
      <c r="U252" t="s">
        <v>62</v>
      </c>
      <c r="V252">
        <v>3253875116</v>
      </c>
      <c r="W252" s="1">
        <v>850000</v>
      </c>
      <c r="X252">
        <v>10</v>
      </c>
      <c r="Y252">
        <v>0</v>
      </c>
      <c r="AA252" t="s">
        <v>70</v>
      </c>
      <c r="AB252" t="s">
        <v>2214</v>
      </c>
      <c r="AD252" t="s">
        <v>99</v>
      </c>
      <c r="AE252">
        <v>1311</v>
      </c>
      <c r="AF252" t="s">
        <v>100</v>
      </c>
      <c r="AI252">
        <v>13110101</v>
      </c>
      <c r="AJ252" t="s">
        <v>102</v>
      </c>
      <c r="AM252">
        <v>211120</v>
      </c>
      <c r="AN252" t="s">
        <v>104</v>
      </c>
      <c r="AQ252" t="s">
        <v>75</v>
      </c>
      <c r="AT252" t="s">
        <v>76</v>
      </c>
      <c r="BF252">
        <v>0</v>
      </c>
      <c r="BG252">
        <v>0</v>
      </c>
      <c r="CK252" s="19">
        <f>IF(BQ252&gt;0,BQ252,W252)</f>
        <v>850000</v>
      </c>
      <c r="CL252" s="20">
        <f>IF(BS252&gt;0,BS252,Y252)</f>
        <v>0</v>
      </c>
      <c r="CM252" s="78">
        <f>IF(CG252&gt;0,CG252,AM252)</f>
        <v>211120</v>
      </c>
      <c r="CN252" s="80">
        <f>IF($BH252="",1,COUNTIF($BH$3:$BH252,$BH252))</f>
        <v>1</v>
      </c>
      <c r="CP252" t="str">
        <f>IF($K252="Standard Match","Match",IF($K252="Name Only Match",IF($CO252="Yes","Match","Name Only Match"),"No Match"))</f>
        <v>Match</v>
      </c>
      <c r="CQ252" s="35" t="str">
        <f>IF(AND(CP252="Match",CK252&gt;0,CL252&gt;0),"Y","N")</f>
        <v>N</v>
      </c>
      <c r="CS252" t="str">
        <f>IF($CQ252="Y",VLOOKUP($CM252,'SBA Size Standards'!$B$3:$G$57,MATCH('SBA Size Standards'!$G$3,'SBA Size Standards'!$B$3:$G$3,0),FALSE),"")</f>
        <v/>
      </c>
      <c r="CT252" s="60" t="str">
        <f>IF(CQ252="Y",IF($CS252="Employment","N/A",VLOOKUP($CM252,'SBA Size Standards'!$B$3:$G$57,MATCH('SBA Size Standards'!$E$3,'SBA Size Standards'!$B$3:$G$3,0),FALSE)),"")</f>
        <v/>
      </c>
      <c r="CU252" s="86" t="str">
        <f>IF($CQ252="Y",IF($CS252="Revenue","N/A",VLOOKUP($CM252,'SBA Size Standards'!$B$3:$G$57,MATCH('SBA Size Standards'!$F$3,'SBA Size Standards'!$B$3:$G$3,0),FALSE)),"")</f>
        <v/>
      </c>
      <c r="CV252" t="str">
        <f>IF($CQ252="Y",IF(OR(AND($CS252="Employment",$CL252&lt;$CU252),AND($CS252="Revenue",$CK252&lt;$CT252)),"YES","NO"),"")</f>
        <v/>
      </c>
      <c r="CW252" s="90" t="str">
        <f>IF($CQ252="Y",INDEX('SBA Size Standards'!$N$3:$N$12,MATCH($CK252,'SBA Size Standards'!$O$3:$O$12,1)),"")</f>
        <v/>
      </c>
      <c r="CX252" s="122" t="s">
        <v>4682</v>
      </c>
      <c r="CY252" s="122">
        <f>INDEX('NM O&amp;G Production'!$P$3:$P$537,MATCH(CX252,'NM O&amp;G Production'!$Q$3:$Q$537,0))</f>
        <v>312</v>
      </c>
      <c r="CZ252" s="122" t="str">
        <f>INDEX('NM O&amp;G Production'!$O$3:$O$537,MATCH(CY252,'NM O&amp;G Production'!$P$3:$P$537,0))</f>
        <v>No</v>
      </c>
      <c r="DA252" s="127">
        <f>INDEX('NM O&amp;G Production'!$K$3:$O$537,MATCH($CY252,'NM O&amp;G Production'!$P$3:$P$537,0),MATCH(DA$2,'NM O&amp;G Production'!$K$2:$O$2,0))</f>
        <v>0</v>
      </c>
      <c r="DB252" s="127">
        <f>INDEX('NM O&amp;G Production'!$K$3:$O$537,MATCH($CY252,'NM O&amp;G Production'!$P$3:$P$537,0),MATCH(DB$2,'NM O&amp;G Production'!$K$2:$O$2,0))</f>
        <v>0</v>
      </c>
      <c r="DC252" s="127"/>
      <c r="DD252" s="127">
        <f>INDEX('NM O&amp;G Production'!$K$3:$O$537,MATCH($CY252,'NM O&amp;G Production'!$P$3:$P$537,0),MATCH(DD$2,'NM O&amp;G Production'!$K$2:$O$2,0))</f>
        <v>0</v>
      </c>
      <c r="DE252" s="127">
        <f>INDEX('NM O&amp;G Production'!$K$3:$O$537,MATCH($CY252,'NM O&amp;G Production'!$P$3:$P$537,0),MATCH(DE$2,'NM O&amp;G Production'!$K$2:$O$2,0))</f>
        <v>0</v>
      </c>
      <c r="DF252" s="258" t="e">
        <f>CK252/(DB252+DA252)</f>
        <v>#DIV/0!</v>
      </c>
      <c r="DG252" s="57">
        <f>DD252*(12/18)*1.06*'Oil and Gas Prices'!$C$18</f>
        <v>0</v>
      </c>
      <c r="DH252" s="284">
        <f>DE252*(12/18)*'Oil and Gas Prices'!$C$4</f>
        <v>0</v>
      </c>
      <c r="DI252" s="284"/>
      <c r="DJ252" s="57" t="e">
        <f>(DG252+DH252)/(DA252+DB252)</f>
        <v>#DIV/0!</v>
      </c>
      <c r="DK252" s="18" t="e">
        <f>CK252/DI252</f>
        <v>#DIV/0!</v>
      </c>
    </row>
    <row r="253" spans="1:115" x14ac:dyDescent="0.25">
      <c r="A253" t="s">
        <v>1293</v>
      </c>
      <c r="B253" t="s">
        <v>1294</v>
      </c>
      <c r="D253" t="s">
        <v>303</v>
      </c>
      <c r="E253" t="s">
        <v>80</v>
      </c>
      <c r="F253">
        <v>79710</v>
      </c>
      <c r="G253" t="s">
        <v>62</v>
      </c>
      <c r="I253">
        <v>169</v>
      </c>
      <c r="J253" t="s">
        <v>63</v>
      </c>
      <c r="K253" t="s">
        <v>4133</v>
      </c>
      <c r="L253" t="s">
        <v>149</v>
      </c>
      <c r="M253">
        <v>10</v>
      </c>
      <c r="N253" t="s">
        <v>1295</v>
      </c>
      <c r="O253" t="s">
        <v>1296</v>
      </c>
      <c r="P253" t="s">
        <v>1293</v>
      </c>
      <c r="Q253" t="s">
        <v>1297</v>
      </c>
      <c r="R253" t="s">
        <v>153</v>
      </c>
      <c r="S253" t="s">
        <v>94</v>
      </c>
      <c r="T253" t="s">
        <v>1298</v>
      </c>
      <c r="U253" t="s">
        <v>62</v>
      </c>
      <c r="V253">
        <v>4326838442</v>
      </c>
      <c r="W253" s="1">
        <v>846287</v>
      </c>
      <c r="X253">
        <v>5</v>
      </c>
      <c r="Y253">
        <v>5</v>
      </c>
      <c r="Z253">
        <v>1980</v>
      </c>
      <c r="AA253" t="s">
        <v>70</v>
      </c>
      <c r="AB253" t="s">
        <v>1299</v>
      </c>
      <c r="AC253" t="s">
        <v>98</v>
      </c>
      <c r="AD253" t="s">
        <v>1300</v>
      </c>
      <c r="AE253">
        <v>7389</v>
      </c>
      <c r="AF253" t="s">
        <v>1301</v>
      </c>
      <c r="AI253">
        <v>73890100</v>
      </c>
      <c r="AJ253" t="s">
        <v>1302</v>
      </c>
      <c r="AM253">
        <v>561499</v>
      </c>
      <c r="AN253" t="s">
        <v>1303</v>
      </c>
      <c r="AQ253" t="s">
        <v>75</v>
      </c>
      <c r="AT253" t="s">
        <v>76</v>
      </c>
      <c r="BF253">
        <v>0</v>
      </c>
      <c r="BG253">
        <v>0</v>
      </c>
      <c r="CK253" s="19">
        <f>IF(BQ253&gt;0,BQ253,W253)</f>
        <v>846287</v>
      </c>
      <c r="CL253" s="20">
        <f>IF(BS253&gt;0,BS253,Y253)</f>
        <v>5</v>
      </c>
      <c r="CM253" s="34">
        <f>IF(CG253&gt;0,CG253,AM253)</f>
        <v>561499</v>
      </c>
      <c r="CN253" s="80">
        <f>IF($BH253="",1,COUNTIF($BH$3:$BH253,$BH253))</f>
        <v>1</v>
      </c>
      <c r="CP253" t="str">
        <f>IF($K253="Standard Match","Match",IF($K253="Name Only Match",IF($CO253="Yes","Match","Name Only Match"),"No Match"))</f>
        <v>Match</v>
      </c>
      <c r="CQ253" s="35" t="str">
        <f>IF(AND(CP253="Match",CK253&gt;0,CL253&gt;0),"Y","N")</f>
        <v>Y</v>
      </c>
      <c r="CS253" t="str">
        <f>IF($CQ253="Y",VLOOKUP($CM253,'SBA Size Standards'!$B$3:$G$57,MATCH('SBA Size Standards'!$G$3,'SBA Size Standards'!$B$3:$G$3,0),FALSE),"")</f>
        <v>Revenue</v>
      </c>
      <c r="CT253" s="60">
        <f>IF(CQ253="Y",IF($CS253="Employment","N/A",VLOOKUP($CM253,'SBA Size Standards'!$B$3:$G$57,MATCH('SBA Size Standards'!$E$3,'SBA Size Standards'!$B$3:$G$3,0),FALSE)),"")</f>
        <v>16500000</v>
      </c>
      <c r="CU253" s="86" t="str">
        <f>IF($CQ253="Y",IF($CS253="Revenue","N/A",VLOOKUP($CM253,'SBA Size Standards'!$B$3:$G$57,MATCH('SBA Size Standards'!$F$3,'SBA Size Standards'!$B$3:$G$3,0),FALSE)),"")</f>
        <v>N/A</v>
      </c>
      <c r="CV253" t="str">
        <f>IF($CQ253="Y",IF(OR(AND($CS253="Employment",$CL253&lt;$CU253),AND($CS253="Revenue",$CK253&lt;$CT253)),"YES","NO"),"")</f>
        <v>YES</v>
      </c>
      <c r="CW253" s="90" t="str">
        <f>IF($CQ253="Y",INDEX('SBA Size Standards'!$N$3:$N$12,MATCH($CK253,'SBA Size Standards'!$O$3:$O$12,1)),"")</f>
        <v>$500,001 - $1,000,000</v>
      </c>
      <c r="CX253" s="122" t="s">
        <v>4609</v>
      </c>
      <c r="CY253" s="122">
        <f>INDEX('NM O&amp;G Production'!$P$3:$P$537,MATCH(CX253,'NM O&amp;G Production'!$Q$3:$Q$537,0))</f>
        <v>169</v>
      </c>
      <c r="CZ253" s="122" t="str">
        <f>INDEX('NM O&amp;G Production'!$O$3:$O$537,MATCH(CY253,'NM O&amp;G Production'!$P$3:$P$537,0))</f>
        <v>No</v>
      </c>
      <c r="DA253" s="127">
        <f>INDEX('NM O&amp;G Production'!$K$3:$O$537,MATCH($CY253,'NM O&amp;G Production'!$P$3:$P$537,0),MATCH(DA$2,'NM O&amp;G Production'!$K$2:$O$2,0))</f>
        <v>0</v>
      </c>
      <c r="DB253" s="127">
        <f>INDEX('NM O&amp;G Production'!$K$3:$O$537,MATCH($CY253,'NM O&amp;G Production'!$P$3:$P$537,0),MATCH(DB$2,'NM O&amp;G Production'!$K$2:$O$2,0))</f>
        <v>0</v>
      </c>
      <c r="DC253" s="127"/>
      <c r="DD253" s="127">
        <f>INDEX('NM O&amp;G Production'!$K$3:$O$537,MATCH($CY253,'NM O&amp;G Production'!$P$3:$P$537,0),MATCH(DD$2,'NM O&amp;G Production'!$K$2:$O$2,0))</f>
        <v>0</v>
      </c>
      <c r="DE253" s="127">
        <f>INDEX('NM O&amp;G Production'!$K$3:$O$537,MATCH($CY253,'NM O&amp;G Production'!$P$3:$P$537,0),MATCH(DE$2,'NM O&amp;G Production'!$K$2:$O$2,0))</f>
        <v>0</v>
      </c>
      <c r="DF253" s="258" t="e">
        <f>CK253/(DB253+DA253)</f>
        <v>#DIV/0!</v>
      </c>
      <c r="DG253" s="57">
        <f>DD253*(12/18)*1.06*'Oil and Gas Prices'!$C$18</f>
        <v>0</v>
      </c>
      <c r="DH253" s="284">
        <f>DE253*(12/18)*'Oil and Gas Prices'!$C$4</f>
        <v>0</v>
      </c>
      <c r="DI253" s="284"/>
      <c r="DJ253" s="57" t="e">
        <f>(DG253+DH253)/(DA253+DB253)</f>
        <v>#DIV/0!</v>
      </c>
      <c r="DK253" s="18" t="e">
        <f>CK253/DI253</f>
        <v>#DIV/0!</v>
      </c>
    </row>
    <row r="254" spans="1:115" x14ac:dyDescent="0.25">
      <c r="A254" t="s">
        <v>2264</v>
      </c>
      <c r="B254" t="s">
        <v>2265</v>
      </c>
      <c r="D254" t="s">
        <v>2266</v>
      </c>
      <c r="E254" t="s">
        <v>84</v>
      </c>
      <c r="F254">
        <v>88220</v>
      </c>
      <c r="G254" t="s">
        <v>62</v>
      </c>
      <c r="I254">
        <v>320</v>
      </c>
      <c r="J254" t="s">
        <v>89</v>
      </c>
      <c r="K254" t="s">
        <v>4133</v>
      </c>
      <c r="L254" t="s">
        <v>64</v>
      </c>
      <c r="M254">
        <v>10</v>
      </c>
      <c r="N254" t="s">
        <v>2267</v>
      </c>
      <c r="O254" t="s">
        <v>2268</v>
      </c>
      <c r="Q254" t="s">
        <v>2269</v>
      </c>
      <c r="R254" t="s">
        <v>2266</v>
      </c>
      <c r="S254" t="s">
        <v>214</v>
      </c>
      <c r="T254" t="s">
        <v>2270</v>
      </c>
      <c r="U254" t="s">
        <v>62</v>
      </c>
      <c r="V254">
        <v>5756283932</v>
      </c>
      <c r="W254" s="1">
        <v>823074</v>
      </c>
      <c r="X254">
        <v>26</v>
      </c>
      <c r="Y254">
        <v>26</v>
      </c>
      <c r="Z254">
        <v>2000</v>
      </c>
      <c r="AA254" t="s">
        <v>70</v>
      </c>
      <c r="AB254" t="s">
        <v>2271</v>
      </c>
      <c r="AC254" t="s">
        <v>133</v>
      </c>
      <c r="AD254" t="s">
        <v>99</v>
      </c>
      <c r="AE254">
        <v>1311</v>
      </c>
      <c r="AF254" t="s">
        <v>100</v>
      </c>
      <c r="AI254">
        <v>13110101</v>
      </c>
      <c r="AJ254" t="s">
        <v>102</v>
      </c>
      <c r="AM254">
        <v>211120</v>
      </c>
      <c r="AN254" t="s">
        <v>104</v>
      </c>
      <c r="AQ254" t="s">
        <v>75</v>
      </c>
      <c r="AT254" t="s">
        <v>76</v>
      </c>
      <c r="BF254">
        <v>0</v>
      </c>
      <c r="BG254">
        <v>0</v>
      </c>
      <c r="CK254" s="19">
        <f>IF(BQ254&gt;0,BQ254,W254)</f>
        <v>823074</v>
      </c>
      <c r="CL254" s="20">
        <f>IF(BS254&gt;0,BS254,Y254)</f>
        <v>26</v>
      </c>
      <c r="CM254" s="34">
        <f>IF(CG254&gt;0,CG254,AM254)</f>
        <v>211120</v>
      </c>
      <c r="CN254" s="80">
        <f>IF($BH254="",1,COUNTIF($BH$3:$BH254,$BH254))</f>
        <v>1</v>
      </c>
      <c r="CP254" t="str">
        <f>IF($K254="Standard Match","Match",IF($K254="Name Only Match",IF($CO254="Yes","Match","Name Only Match"),"No Match"))</f>
        <v>Match</v>
      </c>
      <c r="CQ254" s="35" t="str">
        <f>IF(AND(CP254="Match",CK254&gt;0,CL254&gt;0),"Y","N")</f>
        <v>Y</v>
      </c>
      <c r="CS254" t="str">
        <f>IF($CQ254="Y",VLOOKUP($CM254,'SBA Size Standards'!$B$3:$G$57,MATCH('SBA Size Standards'!$G$3,'SBA Size Standards'!$B$3:$G$3,0),FALSE),"")</f>
        <v>Employment</v>
      </c>
      <c r="CT254" s="60" t="str">
        <f>IF(CQ254="Y",IF($CS254="Employment","N/A",VLOOKUP($CM254,'SBA Size Standards'!$B$3:$G$57,MATCH('SBA Size Standards'!$E$3,'SBA Size Standards'!$B$3:$G$3,0),FALSE)),"")</f>
        <v>N/A</v>
      </c>
      <c r="CU254" s="86">
        <f>IF($CQ254="Y",IF($CS254="Revenue","N/A",VLOOKUP($CM254,'SBA Size Standards'!$B$3:$G$57,MATCH('SBA Size Standards'!$F$3,'SBA Size Standards'!$B$3:$G$3,0),FALSE)),"")</f>
        <v>1250</v>
      </c>
      <c r="CV254" t="str">
        <f>IF($CQ254="Y",IF(OR(AND($CS254="Employment",$CL254&lt;$CU254),AND($CS254="Revenue",$CK254&lt;$CT254)),"YES","NO"),"")</f>
        <v>YES</v>
      </c>
      <c r="CW254" s="90" t="str">
        <f>IF($CQ254="Y",INDEX('SBA Size Standards'!$N$3:$N$12,MATCH($CK254,'SBA Size Standards'!$O$3:$O$12,1)),"")</f>
        <v>$500,001 - $1,000,000</v>
      </c>
      <c r="CX254" s="122" t="s">
        <v>4686</v>
      </c>
      <c r="CY254" s="122">
        <f>INDEX('NM O&amp;G Production'!$P$3:$P$537,MATCH(CX254,'NM O&amp;G Production'!$Q$3:$Q$537,0))</f>
        <v>320</v>
      </c>
      <c r="CZ254" s="122" t="str">
        <f>INDEX('NM O&amp;G Production'!$O$3:$O$537,MATCH(CY254,'NM O&amp;G Production'!$P$3:$P$537,0))</f>
        <v>Yes</v>
      </c>
      <c r="DA254" s="127">
        <f>INDEX('NM O&amp;G Production'!$K$3:$O$537,MATCH($CY254,'NM O&amp;G Production'!$P$3:$P$537,0),MATCH(DA$2,'NM O&amp;G Production'!$K$2:$O$2,0))</f>
        <v>36</v>
      </c>
      <c r="DB254" s="127">
        <f>INDEX('NM O&amp;G Production'!$K$3:$O$537,MATCH($CY254,'NM O&amp;G Production'!$P$3:$P$537,0),MATCH(DB$2,'NM O&amp;G Production'!$K$2:$O$2,0))</f>
        <v>46</v>
      </c>
      <c r="DC254" s="127">
        <f>DA254+DB254</f>
        <v>82</v>
      </c>
      <c r="DD254" s="127">
        <f>INDEX('NM O&amp;G Production'!$K$3:$O$537,MATCH($CY254,'NM O&amp;G Production'!$P$3:$P$537,0),MATCH(DD$2,'NM O&amp;G Production'!$K$2:$O$2,0))</f>
        <v>4254526</v>
      </c>
      <c r="DE254" s="127">
        <f>INDEX('NM O&amp;G Production'!$K$3:$O$537,MATCH($CY254,'NM O&amp;G Production'!$P$3:$P$537,0),MATCH(DE$2,'NM O&amp;G Production'!$K$2:$O$2,0))</f>
        <v>939010</v>
      </c>
      <c r="DF254" s="258">
        <f>CK254/(DB254+DA254)</f>
        <v>10037.487804878048</v>
      </c>
      <c r="DG254" s="57">
        <f>DD254*(12/18)*1.06*'Oil and Gas Prices'!$C$18</f>
        <v>7185610.7789333332</v>
      </c>
      <c r="DH254" s="284">
        <f>DE254*(12/18)*'Oil and Gas Prices'!$C$4</f>
        <v>28170300</v>
      </c>
      <c r="DI254" s="284">
        <f>DG254+DH254</f>
        <v>35355910.778933331</v>
      </c>
      <c r="DJ254" s="57">
        <f>(DG254+DH254)/(DA254+DB254)</f>
        <v>431169.64364552841</v>
      </c>
      <c r="DK254" s="318"/>
    </row>
    <row r="255" spans="1:115" x14ac:dyDescent="0.25">
      <c r="A255" t="s">
        <v>3016</v>
      </c>
      <c r="B255" t="s">
        <v>3017</v>
      </c>
      <c r="D255" t="s">
        <v>344</v>
      </c>
      <c r="E255" t="s">
        <v>80</v>
      </c>
      <c r="F255">
        <v>79714</v>
      </c>
      <c r="G255" t="s">
        <v>62</v>
      </c>
      <c r="I255">
        <v>440</v>
      </c>
      <c r="J255" t="s">
        <v>63</v>
      </c>
      <c r="K255" t="s">
        <v>4133</v>
      </c>
      <c r="L255" t="s">
        <v>149</v>
      </c>
      <c r="M255">
        <v>10</v>
      </c>
      <c r="N255" t="s">
        <v>3018</v>
      </c>
      <c r="O255" t="s">
        <v>3019</v>
      </c>
      <c r="Q255" t="s">
        <v>3020</v>
      </c>
      <c r="R255" t="s">
        <v>344</v>
      </c>
      <c r="S255" t="s">
        <v>94</v>
      </c>
      <c r="T255" t="s">
        <v>3021</v>
      </c>
      <c r="U255" t="s">
        <v>62</v>
      </c>
      <c r="V255">
        <v>4325242371</v>
      </c>
      <c r="W255" s="1">
        <v>814155</v>
      </c>
      <c r="X255">
        <v>3</v>
      </c>
      <c r="Y255">
        <v>3</v>
      </c>
      <c r="Z255">
        <v>1972</v>
      </c>
      <c r="AA255" t="s">
        <v>70</v>
      </c>
      <c r="AB255" t="s">
        <v>3022</v>
      </c>
      <c r="AC255" t="s">
        <v>98</v>
      </c>
      <c r="AD255" t="s">
        <v>99</v>
      </c>
      <c r="AE255">
        <v>1311</v>
      </c>
      <c r="AF255" t="s">
        <v>100</v>
      </c>
      <c r="AI255">
        <v>13110101</v>
      </c>
      <c r="AJ255" t="s">
        <v>102</v>
      </c>
      <c r="AM255">
        <v>211120</v>
      </c>
      <c r="AN255" t="s">
        <v>104</v>
      </c>
      <c r="AQ255" t="s">
        <v>75</v>
      </c>
      <c r="AT255" t="s">
        <v>76</v>
      </c>
      <c r="BF255">
        <v>0</v>
      </c>
      <c r="BG255">
        <v>0</v>
      </c>
      <c r="CK255" s="19">
        <f>IF(BQ255&gt;0,BQ255,W255)</f>
        <v>814155</v>
      </c>
      <c r="CL255" s="20">
        <f>IF(BS255&gt;0,BS255,Y255)</f>
        <v>3</v>
      </c>
      <c r="CM255" s="34">
        <f>IF(CG255&gt;0,CG255,AM255)</f>
        <v>211120</v>
      </c>
      <c r="CN255" s="80">
        <f>IF($BH255="",1,COUNTIF($BH$3:$BH255,$BH255))</f>
        <v>1</v>
      </c>
      <c r="CP255" t="str">
        <f>IF($K255="Standard Match","Match",IF($K255="Name Only Match",IF($CO255="Yes","Match","Name Only Match"),"No Match"))</f>
        <v>Match</v>
      </c>
      <c r="CQ255" s="35" t="str">
        <f>IF(AND(CP255="Match",CK255&gt;0,CL255&gt;0),"Y","N")</f>
        <v>Y</v>
      </c>
      <c r="CS255" t="str">
        <f>IF($CQ255="Y",VLOOKUP($CM255,'SBA Size Standards'!$B$3:$G$57,MATCH('SBA Size Standards'!$G$3,'SBA Size Standards'!$B$3:$G$3,0),FALSE),"")</f>
        <v>Employment</v>
      </c>
      <c r="CT255" s="60" t="str">
        <f>IF(CQ255="Y",IF($CS255="Employment","N/A",VLOOKUP($CM255,'SBA Size Standards'!$B$3:$G$57,MATCH('SBA Size Standards'!$E$3,'SBA Size Standards'!$B$3:$G$3,0),FALSE)),"")</f>
        <v>N/A</v>
      </c>
      <c r="CU255" s="86">
        <f>IF($CQ255="Y",IF($CS255="Revenue","N/A",VLOOKUP($CM255,'SBA Size Standards'!$B$3:$G$57,MATCH('SBA Size Standards'!$F$3,'SBA Size Standards'!$B$3:$G$3,0),FALSE)),"")</f>
        <v>1250</v>
      </c>
      <c r="CV255" t="str">
        <f>IF($CQ255="Y",IF(OR(AND($CS255="Employment",$CL255&lt;$CU255),AND($CS255="Revenue",$CK255&lt;$CT255)),"YES","NO"),"")</f>
        <v>YES</v>
      </c>
      <c r="CW255" s="90" t="str">
        <f>IF($CQ255="Y",INDEX('SBA Size Standards'!$N$3:$N$12,MATCH($CK255,'SBA Size Standards'!$O$3:$O$12,1)),"")</f>
        <v>$500,001 - $1,000,000</v>
      </c>
      <c r="CX255" s="122" t="s">
        <v>4747</v>
      </c>
      <c r="CY255" s="122">
        <f>INDEX('NM O&amp;G Production'!$P$3:$P$537,MATCH(CX255,'NM O&amp;G Production'!$Q$3:$Q$537,0))</f>
        <v>440</v>
      </c>
      <c r="CZ255" s="122" t="str">
        <f>INDEX('NM O&amp;G Production'!$O$3:$O$537,MATCH(CY255,'NM O&amp;G Production'!$P$3:$P$537,0))</f>
        <v>Yes</v>
      </c>
      <c r="DA255" s="127">
        <f>INDEX('NM O&amp;G Production'!$K$3:$O$537,MATCH($CY255,'NM O&amp;G Production'!$P$3:$P$537,0),MATCH(DA$2,'NM O&amp;G Production'!$K$2:$O$2,0))</f>
        <v>1</v>
      </c>
      <c r="DB255" s="127">
        <f>INDEX('NM O&amp;G Production'!$K$3:$O$537,MATCH($CY255,'NM O&amp;G Production'!$P$3:$P$537,0),MATCH(DB$2,'NM O&amp;G Production'!$K$2:$O$2,0))</f>
        <v>10</v>
      </c>
      <c r="DC255" s="127">
        <f>DA255+DB255</f>
        <v>11</v>
      </c>
      <c r="DD255" s="127">
        <f>INDEX('NM O&amp;G Production'!$K$3:$O$537,MATCH($CY255,'NM O&amp;G Production'!$P$3:$P$537,0),MATCH(DD$2,'NM O&amp;G Production'!$K$2:$O$2,0))</f>
        <v>58869</v>
      </c>
      <c r="DE255" s="127">
        <f>INDEX('NM O&amp;G Production'!$K$3:$O$537,MATCH($CY255,'NM O&amp;G Production'!$P$3:$P$537,0),MATCH(DE$2,'NM O&amp;G Production'!$K$2:$O$2,0))</f>
        <v>25593</v>
      </c>
      <c r="DF255" s="258">
        <f>CK255/(DB255+DA255)</f>
        <v>74014.090909090912</v>
      </c>
      <c r="DG255" s="57">
        <f>DD255*(12/18)*1.06*'Oil and Gas Prices'!$C$18</f>
        <v>99425.816400000011</v>
      </c>
      <c r="DH255" s="284">
        <f>DE255*(12/18)*'Oil and Gas Prices'!$C$4</f>
        <v>767790</v>
      </c>
      <c r="DI255" s="284">
        <f>DG255+DH255</f>
        <v>867215.81640000001</v>
      </c>
      <c r="DJ255" s="57">
        <f>(DG255+DH255)/(DA255+DB255)</f>
        <v>78837.801490909085</v>
      </c>
      <c r="DK255" s="319"/>
    </row>
    <row r="256" spans="1:115" x14ac:dyDescent="0.25">
      <c r="A256" t="s">
        <v>2782</v>
      </c>
      <c r="B256" t="s">
        <v>2783</v>
      </c>
      <c r="D256" t="s">
        <v>362</v>
      </c>
      <c r="E256" t="s">
        <v>61</v>
      </c>
      <c r="F256">
        <v>80112</v>
      </c>
      <c r="G256" t="s">
        <v>62</v>
      </c>
      <c r="I256">
        <v>403</v>
      </c>
      <c r="J256" t="s">
        <v>63</v>
      </c>
      <c r="K256" t="s">
        <v>4133</v>
      </c>
      <c r="L256" t="s">
        <v>64</v>
      </c>
      <c r="M256">
        <v>10</v>
      </c>
      <c r="N256" t="s">
        <v>2784</v>
      </c>
      <c r="O256" t="s">
        <v>2785</v>
      </c>
      <c r="Q256" t="s">
        <v>2786</v>
      </c>
      <c r="R256" t="s">
        <v>362</v>
      </c>
      <c r="S256" t="s">
        <v>68</v>
      </c>
      <c r="T256" t="s">
        <v>2787</v>
      </c>
      <c r="U256" t="s">
        <v>62</v>
      </c>
      <c r="V256">
        <v>3032999097</v>
      </c>
      <c r="W256" s="1">
        <v>810422</v>
      </c>
      <c r="X256">
        <v>3</v>
      </c>
      <c r="Y256">
        <v>3</v>
      </c>
      <c r="Z256">
        <v>2012</v>
      </c>
      <c r="AA256" t="s">
        <v>70</v>
      </c>
      <c r="AB256" t="s">
        <v>2788</v>
      </c>
      <c r="AC256" t="s">
        <v>133</v>
      </c>
      <c r="AD256" t="s">
        <v>1905</v>
      </c>
      <c r="AE256">
        <v>3533</v>
      </c>
      <c r="AF256" t="s">
        <v>1906</v>
      </c>
      <c r="AI256">
        <v>35330000</v>
      </c>
      <c r="AJ256" t="s">
        <v>1907</v>
      </c>
      <c r="AM256">
        <v>333132</v>
      </c>
      <c r="AN256" t="s">
        <v>1908</v>
      </c>
      <c r="AQ256" t="s">
        <v>75</v>
      </c>
      <c r="AT256" t="s">
        <v>76</v>
      </c>
      <c r="BF256">
        <v>0</v>
      </c>
      <c r="BG256">
        <v>0</v>
      </c>
      <c r="CK256" s="19">
        <f>IF(BQ256&gt;0,BQ256,W256)</f>
        <v>810422</v>
      </c>
      <c r="CL256" s="20">
        <f>IF(BS256&gt;0,BS256,Y256)</f>
        <v>3</v>
      </c>
      <c r="CM256" s="34">
        <f>IF(CG256&gt;0,CG256,AM256)</f>
        <v>333132</v>
      </c>
      <c r="CN256" s="80">
        <f>IF($BH256="",1,COUNTIF($BH$3:$BH256,$BH256))</f>
        <v>1</v>
      </c>
      <c r="CP256" t="str">
        <f>IF($K256="Standard Match","Match",IF($K256="Name Only Match",IF($CO256="Yes","Match","Name Only Match"),"No Match"))</f>
        <v>Match</v>
      </c>
      <c r="CQ256" s="35" t="str">
        <f>IF(AND(CP256="Match",CK256&gt;0,CL256&gt;0),"Y","N")</f>
        <v>Y</v>
      </c>
      <c r="CS256" t="str">
        <f>IF($CQ256="Y",VLOOKUP($CM256,'SBA Size Standards'!$B$3:$G$57,MATCH('SBA Size Standards'!$G$3,'SBA Size Standards'!$B$3:$G$3,0),FALSE),"")</f>
        <v>Employment</v>
      </c>
      <c r="CT256" s="60" t="str">
        <f>IF(CQ256="Y",IF($CS256="Employment","N/A",VLOOKUP($CM256,'SBA Size Standards'!$B$3:$G$57,MATCH('SBA Size Standards'!$E$3,'SBA Size Standards'!$B$3:$G$3,0),FALSE)),"")</f>
        <v>N/A</v>
      </c>
      <c r="CU256" s="86">
        <f>IF($CQ256="Y",IF($CS256="Revenue","N/A",VLOOKUP($CM256,'SBA Size Standards'!$B$3:$G$57,MATCH('SBA Size Standards'!$F$3,'SBA Size Standards'!$B$3:$G$3,0),FALSE)),"")</f>
        <v>1250</v>
      </c>
      <c r="CV256" t="str">
        <f>IF($CQ256="Y",IF(OR(AND($CS256="Employment",$CL256&lt;$CU256),AND($CS256="Revenue",$CK256&lt;$CT256)),"YES","NO"),"")</f>
        <v>YES</v>
      </c>
      <c r="CW256" s="90" t="str">
        <f>IF($CQ256="Y",INDEX('SBA Size Standards'!$N$3:$N$12,MATCH($CK256,'SBA Size Standards'!$O$3:$O$12,1)),"")</f>
        <v>$500,001 - $1,000,000</v>
      </c>
      <c r="CX256" s="122" t="s">
        <v>4727</v>
      </c>
      <c r="CY256" s="122">
        <f>INDEX('NM O&amp;G Production'!$P$3:$P$537,MATCH(CX256,'NM O&amp;G Production'!$Q$3:$Q$537,0))</f>
        <v>403</v>
      </c>
      <c r="CZ256" s="122" t="str">
        <f>INDEX('NM O&amp;G Production'!$O$3:$O$537,MATCH(CY256,'NM O&amp;G Production'!$P$3:$P$537,0))</f>
        <v>Yes</v>
      </c>
      <c r="DA256" s="127">
        <f>INDEX('NM O&amp;G Production'!$K$3:$O$537,MATCH($CY256,'NM O&amp;G Production'!$P$3:$P$537,0),MATCH(DA$2,'NM O&amp;G Production'!$K$2:$O$2,0))</f>
        <v>2</v>
      </c>
      <c r="DB256" s="127">
        <f>INDEX('NM O&amp;G Production'!$K$3:$O$537,MATCH($CY256,'NM O&amp;G Production'!$P$3:$P$537,0),MATCH(DB$2,'NM O&amp;G Production'!$K$2:$O$2,0))</f>
        <v>0</v>
      </c>
      <c r="DC256" s="127">
        <f>DA256+DB256</f>
        <v>2</v>
      </c>
      <c r="DD256" s="127">
        <f>INDEX('NM O&amp;G Production'!$K$3:$O$537,MATCH($CY256,'NM O&amp;G Production'!$P$3:$P$537,0),MATCH(DD$2,'NM O&amp;G Production'!$K$2:$O$2,0))</f>
        <v>9778</v>
      </c>
      <c r="DE256" s="127">
        <f>INDEX('NM O&amp;G Production'!$K$3:$O$537,MATCH($CY256,'NM O&amp;G Production'!$P$3:$P$537,0),MATCH(DE$2,'NM O&amp;G Production'!$K$2:$O$2,0))</f>
        <v>31189</v>
      </c>
      <c r="DF256" s="258">
        <f>CK256/(DB256+DA256)</f>
        <v>405211</v>
      </c>
      <c r="DG256" s="57">
        <f>DD256*(12/18)*1.06*'Oil and Gas Prices'!$C$18</f>
        <v>16514.390133333334</v>
      </c>
      <c r="DH256" s="284">
        <f>DE256*(12/18)*'Oil and Gas Prices'!$C$4</f>
        <v>935669.99999999988</v>
      </c>
      <c r="DI256" s="284">
        <f>DG256+DH256</f>
        <v>952184.39013333316</v>
      </c>
      <c r="DJ256" s="57">
        <f>(DG256+DH256)/(DA256+DB256)</f>
        <v>476092.19506666658</v>
      </c>
      <c r="DK256" s="319"/>
    </row>
    <row r="257" spans="1:115" x14ac:dyDescent="0.25">
      <c r="A257" t="s">
        <v>2547</v>
      </c>
      <c r="B257" t="s">
        <v>2548</v>
      </c>
      <c r="D257" t="s">
        <v>1100</v>
      </c>
      <c r="E257" t="s">
        <v>80</v>
      </c>
      <c r="F257">
        <v>795523</v>
      </c>
      <c r="G257" t="s">
        <v>62</v>
      </c>
      <c r="I257">
        <v>367</v>
      </c>
      <c r="J257" t="s">
        <v>404</v>
      </c>
      <c r="K257" t="s">
        <v>4133</v>
      </c>
      <c r="L257" t="s">
        <v>64</v>
      </c>
      <c r="M257">
        <v>10</v>
      </c>
      <c r="N257" t="s">
        <v>2549</v>
      </c>
      <c r="O257" t="s">
        <v>2550</v>
      </c>
      <c r="P257" t="s">
        <v>2547</v>
      </c>
      <c r="Q257" t="s">
        <v>2551</v>
      </c>
      <c r="R257" t="s">
        <v>1100</v>
      </c>
      <c r="S257" t="s">
        <v>94</v>
      </c>
      <c r="T257" t="s">
        <v>2552</v>
      </c>
      <c r="U257" t="s">
        <v>62</v>
      </c>
      <c r="V257">
        <v>8067938806</v>
      </c>
      <c r="W257" s="1">
        <v>810000</v>
      </c>
      <c r="X257">
        <v>8</v>
      </c>
      <c r="Y257">
        <v>0</v>
      </c>
      <c r="AA257" t="s">
        <v>96</v>
      </c>
      <c r="AB257" t="s">
        <v>2553</v>
      </c>
      <c r="AD257" t="s">
        <v>1320</v>
      </c>
      <c r="AE257">
        <v>2911</v>
      </c>
      <c r="AF257" t="s">
        <v>774</v>
      </c>
      <c r="AI257">
        <v>29110000</v>
      </c>
      <c r="AJ257" t="s">
        <v>1320</v>
      </c>
      <c r="AM257">
        <v>324110</v>
      </c>
      <c r="AN257" t="s">
        <v>776</v>
      </c>
      <c r="AQ257" t="s">
        <v>75</v>
      </c>
      <c r="AT257" t="s">
        <v>76</v>
      </c>
      <c r="BG257">
        <v>0</v>
      </c>
      <c r="CK257" s="19">
        <f>IF(BQ257&gt;0,BQ257,W257)</f>
        <v>810000</v>
      </c>
      <c r="CL257" s="20">
        <f>IF(BS257&gt;0,BS257,Y257)</f>
        <v>0</v>
      </c>
      <c r="CM257" s="78">
        <f>IF(CG257&gt;0,CG257,AM257)</f>
        <v>324110</v>
      </c>
      <c r="CN257" s="80">
        <f>IF($BH257="",1,COUNTIF($BH$3:$BH257,$BH257))</f>
        <v>1</v>
      </c>
      <c r="CP257" t="str">
        <f>IF($K257="Standard Match","Match",IF($K257="Name Only Match",IF($CO257="Yes","Match","Name Only Match"),"No Match"))</f>
        <v>Match</v>
      </c>
      <c r="CQ257" s="35" t="str">
        <f>IF(AND(CP257="Match",CK257&gt;0,CL257&gt;0),"Y","N")</f>
        <v>N</v>
      </c>
      <c r="CS257" t="str">
        <f>IF($CQ257="Y",VLOOKUP($CM257,'SBA Size Standards'!$B$3:$G$57,MATCH('SBA Size Standards'!$G$3,'SBA Size Standards'!$B$3:$G$3,0),FALSE),"")</f>
        <v/>
      </c>
      <c r="CT257" s="60" t="str">
        <f>IF(CQ257="Y",IF($CS257="Employment","N/A",VLOOKUP($CM257,'SBA Size Standards'!$B$3:$G$57,MATCH('SBA Size Standards'!$E$3,'SBA Size Standards'!$B$3:$G$3,0),FALSE)),"")</f>
        <v/>
      </c>
      <c r="CU257" s="86" t="str">
        <f>IF($CQ257="Y",IF($CS257="Revenue","N/A",VLOOKUP($CM257,'SBA Size Standards'!$B$3:$G$57,MATCH('SBA Size Standards'!$F$3,'SBA Size Standards'!$B$3:$G$3,0),FALSE)),"")</f>
        <v/>
      </c>
      <c r="CV257" t="str">
        <f>IF($CQ257="Y",IF(OR(AND($CS257="Employment",$CL257&lt;$CU257),AND($CS257="Revenue",$CK257&lt;$CT257)),"YES","NO"),"")</f>
        <v/>
      </c>
      <c r="CW257" s="90" t="str">
        <f>IF($CQ257="Y",INDEX('SBA Size Standards'!$N$3:$N$12,MATCH($CK257,'SBA Size Standards'!$O$3:$O$12,1)),"")</f>
        <v/>
      </c>
      <c r="CX257" s="122" t="s">
        <v>4703</v>
      </c>
      <c r="CY257" s="122">
        <f>INDEX('NM O&amp;G Production'!$P$3:$P$537,MATCH(CX257,'NM O&amp;G Production'!$Q$3:$Q$537,0))</f>
        <v>367</v>
      </c>
      <c r="CZ257" s="122" t="str">
        <f>INDEX('NM O&amp;G Production'!$O$3:$O$537,MATCH(CY257,'NM O&amp;G Production'!$P$3:$P$537,0))</f>
        <v>No</v>
      </c>
      <c r="DA257" s="127">
        <f>INDEX('NM O&amp;G Production'!$K$3:$O$537,MATCH($CY257,'NM O&amp;G Production'!$P$3:$P$537,0),MATCH(DA$2,'NM O&amp;G Production'!$K$2:$O$2,0))</f>
        <v>0</v>
      </c>
      <c r="DB257" s="127">
        <f>INDEX('NM O&amp;G Production'!$K$3:$O$537,MATCH($CY257,'NM O&amp;G Production'!$P$3:$P$537,0),MATCH(DB$2,'NM O&amp;G Production'!$K$2:$O$2,0))</f>
        <v>0</v>
      </c>
      <c r="DC257" s="127"/>
      <c r="DD257" s="127">
        <f>INDEX('NM O&amp;G Production'!$K$3:$O$537,MATCH($CY257,'NM O&amp;G Production'!$P$3:$P$537,0),MATCH(DD$2,'NM O&amp;G Production'!$K$2:$O$2,0))</f>
        <v>0</v>
      </c>
      <c r="DE257" s="127">
        <f>INDEX('NM O&amp;G Production'!$K$3:$O$537,MATCH($CY257,'NM O&amp;G Production'!$P$3:$P$537,0),MATCH(DE$2,'NM O&amp;G Production'!$K$2:$O$2,0))</f>
        <v>0</v>
      </c>
      <c r="DF257" s="258" t="e">
        <f>CK257/(DB257+DA257)</f>
        <v>#DIV/0!</v>
      </c>
      <c r="DG257" s="57">
        <f>DD257*(12/18)*1.06*'Oil and Gas Prices'!$C$18</f>
        <v>0</v>
      </c>
      <c r="DH257" s="284">
        <f>DE257*(12/18)*'Oil and Gas Prices'!$C$4</f>
        <v>0</v>
      </c>
      <c r="DI257" s="284"/>
      <c r="DJ257" s="57" t="e">
        <f>(DG257+DH257)/(DA257+DB257)</f>
        <v>#DIV/0!</v>
      </c>
      <c r="DK257" s="18" t="e">
        <f>CK257/DI257</f>
        <v>#DIV/0!</v>
      </c>
    </row>
    <row r="258" spans="1:115" x14ac:dyDescent="0.25">
      <c r="A258" t="s">
        <v>3002</v>
      </c>
      <c r="B258" t="s">
        <v>3003</v>
      </c>
      <c r="D258" t="s">
        <v>209</v>
      </c>
      <c r="E258" t="s">
        <v>84</v>
      </c>
      <c r="F258">
        <v>88202</v>
      </c>
      <c r="G258" t="s">
        <v>62</v>
      </c>
      <c r="I258">
        <v>438</v>
      </c>
      <c r="J258" t="s">
        <v>63</v>
      </c>
      <c r="K258" t="s">
        <v>4133</v>
      </c>
      <c r="L258" t="s">
        <v>149</v>
      </c>
      <c r="M258">
        <v>10</v>
      </c>
      <c r="N258" t="s">
        <v>3004</v>
      </c>
      <c r="O258" t="s">
        <v>3005</v>
      </c>
      <c r="Q258" t="s">
        <v>3006</v>
      </c>
      <c r="R258" t="s">
        <v>209</v>
      </c>
      <c r="S258" t="s">
        <v>214</v>
      </c>
      <c r="T258" t="s">
        <v>3007</v>
      </c>
      <c r="U258" t="s">
        <v>62</v>
      </c>
      <c r="V258">
        <v>5756237184</v>
      </c>
      <c r="W258" s="1">
        <v>805944</v>
      </c>
      <c r="X258">
        <v>6</v>
      </c>
      <c r="Y258">
        <v>6</v>
      </c>
      <c r="Z258">
        <v>1978</v>
      </c>
      <c r="AA258" t="s">
        <v>163</v>
      </c>
      <c r="AB258" t="s">
        <v>3008</v>
      </c>
      <c r="AC258" t="s">
        <v>98</v>
      </c>
      <c r="AD258" t="s">
        <v>119</v>
      </c>
      <c r="AE258">
        <v>1382</v>
      </c>
      <c r="AF258" t="s">
        <v>120</v>
      </c>
      <c r="AG258">
        <v>1311</v>
      </c>
      <c r="AH258" t="s">
        <v>100</v>
      </c>
      <c r="AI258">
        <v>13820000</v>
      </c>
      <c r="AJ258" t="s">
        <v>119</v>
      </c>
      <c r="AK258">
        <v>13110101</v>
      </c>
      <c r="AL258" t="s">
        <v>102</v>
      </c>
      <c r="AM258">
        <v>213112</v>
      </c>
      <c r="AN258" t="s">
        <v>74</v>
      </c>
      <c r="AO258">
        <v>211120</v>
      </c>
      <c r="AP258" t="s">
        <v>104</v>
      </c>
      <c r="AQ258" t="s">
        <v>75</v>
      </c>
      <c r="AR258" t="s">
        <v>3004</v>
      </c>
      <c r="AS258" t="s">
        <v>3005</v>
      </c>
      <c r="AT258" t="s">
        <v>427</v>
      </c>
      <c r="AU258" t="s">
        <v>84</v>
      </c>
      <c r="AV258" t="s">
        <v>62</v>
      </c>
      <c r="AW258" t="s">
        <v>3004</v>
      </c>
      <c r="AX258" t="s">
        <v>3005</v>
      </c>
      <c r="AY258" t="s">
        <v>84</v>
      </c>
      <c r="AZ258" t="s">
        <v>62</v>
      </c>
      <c r="BE258" t="s">
        <v>62</v>
      </c>
      <c r="BF258">
        <v>1</v>
      </c>
      <c r="BG258">
        <v>2</v>
      </c>
      <c r="BH258" s="4" t="s">
        <v>3004</v>
      </c>
      <c r="BI258" s="4" t="s">
        <v>3005</v>
      </c>
      <c r="BK258" s="4" t="s">
        <v>3006</v>
      </c>
      <c r="BL258" s="4" t="s">
        <v>209</v>
      </c>
      <c r="BM258" s="4" t="s">
        <v>214</v>
      </c>
      <c r="BN258" s="4" t="s">
        <v>3007</v>
      </c>
      <c r="BO258" s="4" t="s">
        <v>62</v>
      </c>
      <c r="BP258" s="4">
        <v>5756237184</v>
      </c>
      <c r="BQ258" s="5">
        <v>805944</v>
      </c>
      <c r="BR258" s="4">
        <v>6</v>
      </c>
      <c r="BS258" s="4">
        <v>6</v>
      </c>
      <c r="BT258" s="4">
        <v>1978</v>
      </c>
      <c r="BU258" s="4" t="s">
        <v>163</v>
      </c>
      <c r="BV258" s="4" t="s">
        <v>3008</v>
      </c>
      <c r="BW258" s="4" t="s">
        <v>98</v>
      </c>
      <c r="BX258" s="4" t="s">
        <v>119</v>
      </c>
      <c r="BY258" s="4">
        <v>1382</v>
      </c>
      <c r="BZ258" s="4" t="s">
        <v>120</v>
      </c>
      <c r="CA258" s="4">
        <v>1311</v>
      </c>
      <c r="CB258" s="4" t="s">
        <v>100</v>
      </c>
      <c r="CC258" s="4">
        <v>13820000</v>
      </c>
      <c r="CD258" s="4" t="s">
        <v>119</v>
      </c>
      <c r="CE258" s="4">
        <v>13110101</v>
      </c>
      <c r="CF258" s="4" t="s">
        <v>102</v>
      </c>
      <c r="CG258" s="4">
        <v>213112</v>
      </c>
      <c r="CH258" s="4" t="s">
        <v>74</v>
      </c>
      <c r="CI258" s="4">
        <v>211120</v>
      </c>
      <c r="CJ258" s="4" t="s">
        <v>104</v>
      </c>
      <c r="CK258" s="19">
        <f>IF(BQ258&gt;0,BQ258,W258)</f>
        <v>805944</v>
      </c>
      <c r="CL258" s="20">
        <f>IF(BS258&gt;0,BS258,Y258)</f>
        <v>6</v>
      </c>
      <c r="CM258" s="34">
        <f>IF(CG258&gt;0,CG258,AM258)</f>
        <v>213112</v>
      </c>
      <c r="CN258" s="80">
        <f>IF($BH258="",1,COUNTIF($BH$3:$BH258,$BH258))</f>
        <v>1</v>
      </c>
      <c r="CP258" t="str">
        <f>IF($K258="Standard Match","Match",IF($K258="Name Only Match",IF($CO258="Yes","Match","Name Only Match"),"No Match"))</f>
        <v>Match</v>
      </c>
      <c r="CQ258" s="35" t="str">
        <f>IF(AND(CP258="Match",CK258&gt;0,CL258&gt;0),"Y","N")</f>
        <v>Y</v>
      </c>
      <c r="CS258" t="str">
        <f>IF($CQ258="Y",VLOOKUP($CM258,'SBA Size Standards'!$B$3:$G$57,MATCH('SBA Size Standards'!$G$3,'SBA Size Standards'!$B$3:$G$3,0),FALSE),"")</f>
        <v>Revenue</v>
      </c>
      <c r="CT258" s="60">
        <f>IF(CQ258="Y",IF($CS258="Employment","N/A",VLOOKUP($CM258,'SBA Size Standards'!$B$3:$G$57,MATCH('SBA Size Standards'!$E$3,'SBA Size Standards'!$B$3:$G$3,0),FALSE)),"")</f>
        <v>41500000</v>
      </c>
      <c r="CU258" s="86" t="str">
        <f>IF($CQ258="Y",IF($CS258="Revenue","N/A",VLOOKUP($CM258,'SBA Size Standards'!$B$3:$G$57,MATCH('SBA Size Standards'!$F$3,'SBA Size Standards'!$B$3:$G$3,0),FALSE)),"")</f>
        <v>N/A</v>
      </c>
      <c r="CV258" t="str">
        <f>IF($CQ258="Y",IF(OR(AND($CS258="Employment",$CL258&lt;$CU258),AND($CS258="Revenue",$CK258&lt;$CT258)),"YES","NO"),"")</f>
        <v>YES</v>
      </c>
      <c r="CW258" s="90" t="str">
        <f>IF($CQ258="Y",INDEX('SBA Size Standards'!$N$3:$N$12,MATCH($CK258,'SBA Size Standards'!$O$3:$O$12,1)),"")</f>
        <v>$500,001 - $1,000,000</v>
      </c>
      <c r="CX258" s="122" t="s">
        <v>4746</v>
      </c>
      <c r="CY258" s="122">
        <f>INDEX('NM O&amp;G Production'!$P$3:$P$537,MATCH(CX258,'NM O&amp;G Production'!$Q$3:$Q$537,0))</f>
        <v>438</v>
      </c>
      <c r="CZ258" s="122" t="str">
        <f>INDEX('NM O&amp;G Production'!$O$3:$O$537,MATCH(CY258,'NM O&amp;G Production'!$P$3:$P$537,0))</f>
        <v>Yes</v>
      </c>
      <c r="DA258" s="127">
        <f>INDEX('NM O&amp;G Production'!$K$3:$O$537,MATCH($CY258,'NM O&amp;G Production'!$P$3:$P$537,0),MATCH(DA$2,'NM O&amp;G Production'!$K$2:$O$2,0))</f>
        <v>0</v>
      </c>
      <c r="DB258" s="127">
        <f>INDEX('NM O&amp;G Production'!$K$3:$O$537,MATCH($CY258,'NM O&amp;G Production'!$P$3:$P$537,0),MATCH(DB$2,'NM O&amp;G Production'!$K$2:$O$2,0))</f>
        <v>85</v>
      </c>
      <c r="DC258" s="127">
        <f>DA258+DB258</f>
        <v>85</v>
      </c>
      <c r="DD258" s="127">
        <f>INDEX('NM O&amp;G Production'!$K$3:$O$537,MATCH($CY258,'NM O&amp;G Production'!$P$3:$P$537,0),MATCH(DD$2,'NM O&amp;G Production'!$K$2:$O$2,0))</f>
        <v>38344</v>
      </c>
      <c r="DE258" s="127">
        <f>INDEX('NM O&amp;G Production'!$K$3:$O$537,MATCH($CY258,'NM O&amp;G Production'!$P$3:$P$537,0),MATCH(DE$2,'NM O&amp;G Production'!$K$2:$O$2,0))</f>
        <v>13063</v>
      </c>
      <c r="DF258" s="258">
        <f>CK258/(DB258+DA258)</f>
        <v>9481.6941176470591</v>
      </c>
      <c r="DG258" s="57">
        <f>DD258*(12/18)*1.06*'Oil and Gas Prices'!$C$18</f>
        <v>64760.459733333337</v>
      </c>
      <c r="DH258" s="284">
        <f>DE258*(12/18)*'Oil and Gas Prices'!$C$4</f>
        <v>391890</v>
      </c>
      <c r="DI258" s="284">
        <f>DG258+DH258</f>
        <v>456650.45973333332</v>
      </c>
      <c r="DJ258" s="57">
        <f>(DG258+DH258)/(DA258+DB258)</f>
        <v>5372.3583498039216</v>
      </c>
      <c r="DK258" s="318"/>
    </row>
    <row r="259" spans="1:115" x14ac:dyDescent="0.25">
      <c r="A259" t="s">
        <v>795</v>
      </c>
      <c r="B259" t="s">
        <v>796</v>
      </c>
      <c r="D259" t="s">
        <v>112</v>
      </c>
      <c r="E259" t="s">
        <v>80</v>
      </c>
      <c r="F259">
        <v>77002</v>
      </c>
      <c r="G259" t="s">
        <v>62</v>
      </c>
      <c r="I259">
        <v>100</v>
      </c>
      <c r="J259" t="s">
        <v>63</v>
      </c>
      <c r="K259" t="s">
        <v>4133</v>
      </c>
      <c r="L259" t="s">
        <v>64</v>
      </c>
      <c r="M259">
        <v>10</v>
      </c>
      <c r="N259" t="s">
        <v>797</v>
      </c>
      <c r="O259" t="s">
        <v>798</v>
      </c>
      <c r="Q259" t="s">
        <v>799</v>
      </c>
      <c r="R259" t="s">
        <v>112</v>
      </c>
      <c r="S259" t="s">
        <v>94</v>
      </c>
      <c r="T259" t="s">
        <v>800</v>
      </c>
      <c r="U259" t="s">
        <v>62</v>
      </c>
      <c r="V259">
        <v>7134202600</v>
      </c>
      <c r="W259" s="1">
        <v>796649</v>
      </c>
      <c r="X259">
        <v>7</v>
      </c>
      <c r="Y259">
        <v>7</v>
      </c>
      <c r="Z259">
        <v>1998</v>
      </c>
      <c r="AA259" t="s">
        <v>70</v>
      </c>
      <c r="AB259" t="s">
        <v>801</v>
      </c>
      <c r="AC259" t="s">
        <v>145</v>
      </c>
      <c r="AD259" t="s">
        <v>99</v>
      </c>
      <c r="AE259">
        <v>1311</v>
      </c>
      <c r="AF259" t="s">
        <v>100</v>
      </c>
      <c r="AI259">
        <v>13110101</v>
      </c>
      <c r="AJ259" t="s">
        <v>102</v>
      </c>
      <c r="AM259">
        <v>211120</v>
      </c>
      <c r="AN259" t="s">
        <v>104</v>
      </c>
      <c r="AQ259" t="s">
        <v>75</v>
      </c>
      <c r="AT259" t="s">
        <v>76</v>
      </c>
      <c r="BF259">
        <v>0</v>
      </c>
      <c r="BG259">
        <v>0</v>
      </c>
      <c r="CK259" s="19">
        <f>IF(BQ259&gt;0,BQ259,W259)</f>
        <v>796649</v>
      </c>
      <c r="CL259" s="20">
        <f>IF(BS259&gt;0,BS259,Y259)</f>
        <v>7</v>
      </c>
      <c r="CM259" s="34">
        <f>IF(CG259&gt;0,CG259,AM259)</f>
        <v>211120</v>
      </c>
      <c r="CN259" s="80">
        <f>IF($BH259="",1,COUNTIF($BH$3:$BH259,$BH259))</f>
        <v>1</v>
      </c>
      <c r="CP259" t="str">
        <f>IF($K259="Standard Match","Match",IF($K259="Name Only Match",IF($CO259="Yes","Match","Name Only Match"),"No Match"))</f>
        <v>Match</v>
      </c>
      <c r="CQ259" s="35" t="str">
        <f>IF(AND(CP259="Match",CK259&gt;0,CL259&gt;0),"Y","N")</f>
        <v>Y</v>
      </c>
      <c r="CS259" t="str">
        <f>IF($CQ259="Y",VLOOKUP($CM259,'SBA Size Standards'!$B$3:$G$57,MATCH('SBA Size Standards'!$G$3,'SBA Size Standards'!$B$3:$G$3,0),FALSE),"")</f>
        <v>Employment</v>
      </c>
      <c r="CT259" s="60" t="str">
        <f>IF(CQ259="Y",IF($CS259="Employment","N/A",VLOOKUP($CM259,'SBA Size Standards'!$B$3:$G$57,MATCH('SBA Size Standards'!$E$3,'SBA Size Standards'!$B$3:$G$3,0),FALSE)),"")</f>
        <v>N/A</v>
      </c>
      <c r="CU259" s="86">
        <f>IF($CQ259="Y",IF($CS259="Revenue","N/A",VLOOKUP($CM259,'SBA Size Standards'!$B$3:$G$57,MATCH('SBA Size Standards'!$F$3,'SBA Size Standards'!$B$3:$G$3,0),FALSE)),"")</f>
        <v>1250</v>
      </c>
      <c r="CV259" t="str">
        <f>IF($CQ259="Y",IF(OR(AND($CS259="Employment",$CL259&lt;$CU259),AND($CS259="Revenue",$CK259&lt;$CT259)),"YES","NO"),"")</f>
        <v>YES</v>
      </c>
      <c r="CW259" s="90" t="str">
        <f>IF($CQ259="Y",INDEX('SBA Size Standards'!$N$3:$N$12,MATCH($CK259,'SBA Size Standards'!$O$3:$O$12,1)),"")</f>
        <v>$500,001 - $1,000,000</v>
      </c>
      <c r="CX259" s="122" t="s">
        <v>4580</v>
      </c>
      <c r="CY259" s="122">
        <f>INDEX('NM O&amp;G Production'!$P$3:$P$537,MATCH(CX259,'NM O&amp;G Production'!$Q$3:$Q$537,0))</f>
        <v>100</v>
      </c>
      <c r="CZ259" s="122" t="str">
        <f>INDEX('NM O&amp;G Production'!$O$3:$O$537,MATCH(CY259,'NM O&amp;G Production'!$P$3:$P$537,0))</f>
        <v>No</v>
      </c>
      <c r="DA259" s="127">
        <f>INDEX('NM O&amp;G Production'!$K$3:$O$537,MATCH($CY259,'NM O&amp;G Production'!$P$3:$P$537,0),MATCH(DA$2,'NM O&amp;G Production'!$K$2:$O$2,0))</f>
        <v>0</v>
      </c>
      <c r="DB259" s="127">
        <f>INDEX('NM O&amp;G Production'!$K$3:$O$537,MATCH($CY259,'NM O&amp;G Production'!$P$3:$P$537,0),MATCH(DB$2,'NM O&amp;G Production'!$K$2:$O$2,0))</f>
        <v>0</v>
      </c>
      <c r="DC259" s="127"/>
      <c r="DD259" s="127">
        <f>INDEX('NM O&amp;G Production'!$K$3:$O$537,MATCH($CY259,'NM O&amp;G Production'!$P$3:$P$537,0),MATCH(DD$2,'NM O&amp;G Production'!$K$2:$O$2,0))</f>
        <v>0</v>
      </c>
      <c r="DE259" s="127">
        <f>INDEX('NM O&amp;G Production'!$K$3:$O$537,MATCH($CY259,'NM O&amp;G Production'!$P$3:$P$537,0),MATCH(DE$2,'NM O&amp;G Production'!$K$2:$O$2,0))</f>
        <v>0</v>
      </c>
      <c r="DF259" s="258" t="e">
        <f>CK259/(DB259+DA259)</f>
        <v>#DIV/0!</v>
      </c>
      <c r="DG259" s="57">
        <f>DD259*(12/18)*1.06*'Oil and Gas Prices'!$C$18</f>
        <v>0</v>
      </c>
      <c r="DH259" s="284">
        <f>DE259*(12/18)*'Oil and Gas Prices'!$C$4</f>
        <v>0</v>
      </c>
      <c r="DI259" s="284"/>
      <c r="DJ259" s="57" t="e">
        <f>(DG259+DH259)/(DA259+DB259)</f>
        <v>#DIV/0!</v>
      </c>
      <c r="DK259" s="18" t="e">
        <f>CK259/DI259</f>
        <v>#DIV/0!</v>
      </c>
    </row>
    <row r="260" spans="1:115" x14ac:dyDescent="0.25">
      <c r="A260" t="s">
        <v>1987</v>
      </c>
      <c r="B260" t="s">
        <v>1988</v>
      </c>
      <c r="D260" t="s">
        <v>209</v>
      </c>
      <c r="E260" t="s">
        <v>84</v>
      </c>
      <c r="F260">
        <v>88203</v>
      </c>
      <c r="G260" t="s">
        <v>62</v>
      </c>
      <c r="I260">
        <v>277</v>
      </c>
      <c r="J260" t="s">
        <v>89</v>
      </c>
      <c r="K260" t="s">
        <v>4133</v>
      </c>
      <c r="L260" t="s">
        <v>90</v>
      </c>
      <c r="M260">
        <v>8</v>
      </c>
      <c r="N260" t="s">
        <v>1989</v>
      </c>
      <c r="O260" t="s">
        <v>1990</v>
      </c>
      <c r="P260" t="s">
        <v>1991</v>
      </c>
      <c r="Q260" t="s">
        <v>1992</v>
      </c>
      <c r="R260" t="s">
        <v>209</v>
      </c>
      <c r="S260" t="s">
        <v>214</v>
      </c>
      <c r="T260" t="s">
        <v>1993</v>
      </c>
      <c r="U260" t="s">
        <v>62</v>
      </c>
      <c r="V260">
        <v>5756272065</v>
      </c>
      <c r="W260" s="1">
        <v>774914</v>
      </c>
      <c r="X260">
        <v>3</v>
      </c>
      <c r="Y260">
        <v>3</v>
      </c>
      <c r="Z260">
        <v>1996</v>
      </c>
      <c r="AA260" t="s">
        <v>70</v>
      </c>
      <c r="AB260" t="s">
        <v>1994</v>
      </c>
      <c r="AC260" t="s">
        <v>98</v>
      </c>
      <c r="AD260" t="s">
        <v>825</v>
      </c>
      <c r="AE260">
        <v>5172</v>
      </c>
      <c r="AF260" t="s">
        <v>826</v>
      </c>
      <c r="AI260">
        <v>51729902</v>
      </c>
      <c r="AJ260" t="s">
        <v>1995</v>
      </c>
      <c r="AM260">
        <v>424720</v>
      </c>
      <c r="AN260" t="s">
        <v>827</v>
      </c>
      <c r="AQ260" t="s">
        <v>75</v>
      </c>
      <c r="AT260" t="s">
        <v>76</v>
      </c>
      <c r="BF260">
        <v>0</v>
      </c>
      <c r="BG260">
        <v>0</v>
      </c>
      <c r="CK260" s="19">
        <f>IF(BQ260&gt;0,BQ260,W260)</f>
        <v>774914</v>
      </c>
      <c r="CL260" s="20">
        <f>IF(BS260&gt;0,BS260,Y260)</f>
        <v>3</v>
      </c>
      <c r="CM260" s="34">
        <f>IF(CG260&gt;0,CG260,AM260)</f>
        <v>424720</v>
      </c>
      <c r="CN260" s="80">
        <f>IF($BH260="",1,COUNTIF($BH$3:$BH260,$BH260))</f>
        <v>1</v>
      </c>
      <c r="CP260" t="str">
        <f>IF($K260="Standard Match","Match",IF($K260="Name Only Match",IF($CO260="Yes","Match","Name Only Match"),"No Match"))</f>
        <v>Match</v>
      </c>
      <c r="CQ260" s="35" t="str">
        <f>IF(AND(CP260="Match",CK260&gt;0,CL260&gt;0),"Y","N")</f>
        <v>Y</v>
      </c>
      <c r="CS260" t="str">
        <f>IF($CQ260="Y",VLOOKUP($CM260,'SBA Size Standards'!$B$3:$G$57,MATCH('SBA Size Standards'!$G$3,'SBA Size Standards'!$B$3:$G$3,0),FALSE),"")</f>
        <v>Employment</v>
      </c>
      <c r="CT260" s="60" t="str">
        <f>IF(CQ260="Y",IF($CS260="Employment","N/A",VLOOKUP($CM260,'SBA Size Standards'!$B$3:$G$57,MATCH('SBA Size Standards'!$E$3,'SBA Size Standards'!$B$3:$G$3,0),FALSE)),"")</f>
        <v>N/A</v>
      </c>
      <c r="CU260" s="86">
        <f>IF($CQ260="Y",IF($CS260="Revenue","N/A",VLOOKUP($CM260,'SBA Size Standards'!$B$3:$G$57,MATCH('SBA Size Standards'!$F$3,'SBA Size Standards'!$B$3:$G$3,0),FALSE)),"")</f>
        <v>200</v>
      </c>
      <c r="CV260" t="str">
        <f>IF($CQ260="Y",IF(OR(AND($CS260="Employment",$CL260&lt;$CU260),AND($CS260="Revenue",$CK260&lt;$CT260)),"YES","NO"),"")</f>
        <v>YES</v>
      </c>
      <c r="CW260" s="90" t="str">
        <f>IF($CQ260="Y",INDEX('SBA Size Standards'!$N$3:$N$12,MATCH($CK260,'SBA Size Standards'!$O$3:$O$12,1)),"")</f>
        <v>$500,001 - $1,000,000</v>
      </c>
      <c r="CX260" s="122" t="s">
        <v>4863</v>
      </c>
      <c r="CY260" s="122">
        <f>INDEX('NM O&amp;G Production'!$P$3:$P$537,MATCH(CX260,'NM O&amp;G Production'!$Q$3:$Q$537,0))</f>
        <v>277</v>
      </c>
      <c r="CZ260" s="122" t="str">
        <f>INDEX('NM O&amp;G Production'!$O$3:$O$537,MATCH(CY260,'NM O&amp;G Production'!$P$3:$P$537,0))</f>
        <v>Yes</v>
      </c>
      <c r="DA260" s="127">
        <f>INDEX('NM O&amp;G Production'!$K$3:$O$537,MATCH($CY260,'NM O&amp;G Production'!$P$3:$P$537,0),MATCH(DA$2,'NM O&amp;G Production'!$K$2:$O$2,0))</f>
        <v>4</v>
      </c>
      <c r="DB260" s="127">
        <f>INDEX('NM O&amp;G Production'!$K$3:$O$537,MATCH($CY260,'NM O&amp;G Production'!$P$3:$P$537,0),MATCH(DB$2,'NM O&amp;G Production'!$K$2:$O$2,0))</f>
        <v>38</v>
      </c>
      <c r="DC260" s="127">
        <f>DA260+DB260</f>
        <v>42</v>
      </c>
      <c r="DD260" s="127">
        <f>INDEX('NM O&amp;G Production'!$K$3:$O$537,MATCH($CY260,'NM O&amp;G Production'!$P$3:$P$537,0),MATCH(DD$2,'NM O&amp;G Production'!$K$2:$O$2,0))</f>
        <v>224264</v>
      </c>
      <c r="DE260" s="127">
        <f>INDEX('NM O&amp;G Production'!$K$3:$O$537,MATCH($CY260,'NM O&amp;G Production'!$P$3:$P$537,0),MATCH(DE$2,'NM O&amp;G Production'!$K$2:$O$2,0))</f>
        <v>2180</v>
      </c>
      <c r="DF260" s="258">
        <f>CK260/(DB260+DA260)</f>
        <v>18450.333333333332</v>
      </c>
      <c r="DG260" s="57">
        <f>DD260*(12/18)*1.06*'Oil and Gas Prices'!$C$18</f>
        <v>378766.94506666664</v>
      </c>
      <c r="DH260" s="284">
        <f>DE260*(12/18)*'Oil and Gas Prices'!$C$4</f>
        <v>65400</v>
      </c>
      <c r="DI260" s="284">
        <f>DG260+DH260</f>
        <v>444166.94506666664</v>
      </c>
      <c r="DJ260" s="57">
        <f>(DG260+DH260)/(DA260+DB260)</f>
        <v>10575.403453968253</v>
      </c>
      <c r="DK260" s="318"/>
    </row>
    <row r="261" spans="1:115" x14ac:dyDescent="0.25">
      <c r="A261" t="s">
        <v>2964</v>
      </c>
      <c r="B261" t="s">
        <v>2965</v>
      </c>
      <c r="D261" t="s">
        <v>153</v>
      </c>
      <c r="E261" t="s">
        <v>80</v>
      </c>
      <c r="F261">
        <v>79702</v>
      </c>
      <c r="G261" t="s">
        <v>62</v>
      </c>
      <c r="I261">
        <v>432</v>
      </c>
      <c r="J261" t="s">
        <v>63</v>
      </c>
      <c r="K261" t="s">
        <v>4133</v>
      </c>
      <c r="L261" t="s">
        <v>279</v>
      </c>
      <c r="M261">
        <v>8</v>
      </c>
      <c r="N261" t="s">
        <v>2966</v>
      </c>
      <c r="O261" t="s">
        <v>2967</v>
      </c>
      <c r="Q261" t="s">
        <v>2968</v>
      </c>
      <c r="R261" t="s">
        <v>153</v>
      </c>
      <c r="S261" t="s">
        <v>94</v>
      </c>
      <c r="T261" t="s">
        <v>2969</v>
      </c>
      <c r="U261" t="s">
        <v>62</v>
      </c>
      <c r="V261">
        <v>4326829784</v>
      </c>
      <c r="W261" s="1">
        <v>761169</v>
      </c>
      <c r="X261">
        <v>4</v>
      </c>
      <c r="Y261">
        <v>4</v>
      </c>
      <c r="Z261">
        <v>1984</v>
      </c>
      <c r="AA261" t="s">
        <v>70</v>
      </c>
      <c r="AB261" t="s">
        <v>2970</v>
      </c>
      <c r="AC261" t="s">
        <v>133</v>
      </c>
      <c r="AD261" t="s">
        <v>99</v>
      </c>
      <c r="AE261">
        <v>1311</v>
      </c>
      <c r="AF261" t="s">
        <v>100</v>
      </c>
      <c r="AI261">
        <v>13110101</v>
      </c>
      <c r="AJ261" t="s">
        <v>102</v>
      </c>
      <c r="AM261">
        <v>211120</v>
      </c>
      <c r="AN261" t="s">
        <v>104</v>
      </c>
      <c r="AQ261" t="s">
        <v>75</v>
      </c>
      <c r="AT261" t="s">
        <v>76</v>
      </c>
      <c r="BF261">
        <v>0</v>
      </c>
      <c r="BG261">
        <v>0</v>
      </c>
      <c r="CK261" s="19">
        <f>IF(BQ261&gt;0,BQ261,W261)</f>
        <v>761169</v>
      </c>
      <c r="CL261" s="20">
        <f>IF(BS261&gt;0,BS261,Y261)</f>
        <v>4</v>
      </c>
      <c r="CM261" s="34">
        <f>IF(CG261&gt;0,CG261,AM261)</f>
        <v>211120</v>
      </c>
      <c r="CN261" s="80">
        <f>IF($BH261="",1,COUNTIF($BH$3:$BH261,$BH261))</f>
        <v>1</v>
      </c>
      <c r="CP261" t="str">
        <f>IF($K261="Standard Match","Match",IF($K261="Name Only Match",IF($CO261="Yes","Match","Name Only Match"),"No Match"))</f>
        <v>Match</v>
      </c>
      <c r="CQ261" s="35" t="str">
        <f>IF(AND(CP261="Match",CK261&gt;0,CL261&gt;0),"Y","N")</f>
        <v>Y</v>
      </c>
      <c r="CS261" t="str">
        <f>IF($CQ261="Y",VLOOKUP($CM261,'SBA Size Standards'!$B$3:$G$57,MATCH('SBA Size Standards'!$G$3,'SBA Size Standards'!$B$3:$G$3,0),FALSE),"")</f>
        <v>Employment</v>
      </c>
      <c r="CT261" s="60" t="str">
        <f>IF(CQ261="Y",IF($CS261="Employment","N/A",VLOOKUP($CM261,'SBA Size Standards'!$B$3:$G$57,MATCH('SBA Size Standards'!$E$3,'SBA Size Standards'!$B$3:$G$3,0),FALSE)),"")</f>
        <v>N/A</v>
      </c>
      <c r="CU261" s="86">
        <f>IF($CQ261="Y",IF($CS261="Revenue","N/A",VLOOKUP($CM261,'SBA Size Standards'!$B$3:$G$57,MATCH('SBA Size Standards'!$F$3,'SBA Size Standards'!$B$3:$G$3,0),FALSE)),"")</f>
        <v>1250</v>
      </c>
      <c r="CV261" t="str">
        <f>IF($CQ261="Y",IF(OR(AND($CS261="Employment",$CL261&lt;$CU261),AND($CS261="Revenue",$CK261&lt;$CT261)),"YES","NO"),"")</f>
        <v>YES</v>
      </c>
      <c r="CW261" s="90" t="str">
        <f>IF($CQ261="Y",INDEX('SBA Size Standards'!$N$3:$N$12,MATCH($CK261,'SBA Size Standards'!$O$3:$O$12,1)),"")</f>
        <v>$500,001 - $1,000,000</v>
      </c>
      <c r="CX261" s="122" t="s">
        <v>4902</v>
      </c>
      <c r="CY261" s="122">
        <f>INDEX('NM O&amp;G Production'!$P$3:$P$537,MATCH(CX261,'NM O&amp;G Production'!$Q$3:$Q$537,0))</f>
        <v>432</v>
      </c>
      <c r="CZ261" s="122" t="str">
        <f>INDEX('NM O&amp;G Production'!$O$3:$O$537,MATCH(CY261,'NM O&amp;G Production'!$P$3:$P$537,0))</f>
        <v>Yes</v>
      </c>
      <c r="DA261" s="127">
        <f>INDEX('NM O&amp;G Production'!$K$3:$O$537,MATCH($CY261,'NM O&amp;G Production'!$P$3:$P$537,0),MATCH(DA$2,'NM O&amp;G Production'!$K$2:$O$2,0))</f>
        <v>2</v>
      </c>
      <c r="DB261" s="127">
        <f>INDEX('NM O&amp;G Production'!$K$3:$O$537,MATCH($CY261,'NM O&amp;G Production'!$P$3:$P$537,0),MATCH(DB$2,'NM O&amp;G Production'!$K$2:$O$2,0))</f>
        <v>20</v>
      </c>
      <c r="DC261" s="127">
        <f>DA261+DB261</f>
        <v>22</v>
      </c>
      <c r="DD261" s="127">
        <f>INDEX('NM O&amp;G Production'!$K$3:$O$537,MATCH($CY261,'NM O&amp;G Production'!$P$3:$P$537,0),MATCH(DD$2,'NM O&amp;G Production'!$K$2:$O$2,0))</f>
        <v>12793</v>
      </c>
      <c r="DE261" s="127">
        <f>INDEX('NM O&amp;G Production'!$K$3:$O$537,MATCH($CY261,'NM O&amp;G Production'!$P$3:$P$537,0),MATCH(DE$2,'NM O&amp;G Production'!$K$2:$O$2,0))</f>
        <v>27509</v>
      </c>
      <c r="DF261" s="258">
        <f>CK261/(DB261+DA261)</f>
        <v>34598.590909090912</v>
      </c>
      <c r="DG261" s="57">
        <f>DD261*(12/18)*1.06*'Oil and Gas Prices'!$C$18</f>
        <v>21606.524133333336</v>
      </c>
      <c r="DH261" s="284">
        <f>DE261*(12/18)*'Oil and Gas Prices'!$C$4</f>
        <v>825270</v>
      </c>
      <c r="DI261" s="284">
        <f>DG261+DH261</f>
        <v>846876.52413333335</v>
      </c>
      <c r="DJ261" s="57">
        <f>(DG261+DH261)/(DA261+DB261)</f>
        <v>38494.387460606064</v>
      </c>
      <c r="DK261" s="318"/>
    </row>
    <row r="262" spans="1:115" x14ac:dyDescent="0.25">
      <c r="A262" t="s">
        <v>2761</v>
      </c>
      <c r="B262" t="s">
        <v>2762</v>
      </c>
      <c r="D262" t="s">
        <v>153</v>
      </c>
      <c r="E262" t="s">
        <v>80</v>
      </c>
      <c r="F262">
        <v>79708</v>
      </c>
      <c r="G262" t="s">
        <v>62</v>
      </c>
      <c r="I262">
        <v>400</v>
      </c>
      <c r="J262" t="s">
        <v>63</v>
      </c>
      <c r="K262" t="s">
        <v>4133</v>
      </c>
      <c r="L262" t="s">
        <v>149</v>
      </c>
      <c r="M262">
        <v>10</v>
      </c>
      <c r="N262" t="s">
        <v>2763</v>
      </c>
      <c r="O262" t="s">
        <v>2764</v>
      </c>
      <c r="Q262" t="s">
        <v>2765</v>
      </c>
      <c r="R262" t="s">
        <v>153</v>
      </c>
      <c r="S262" t="s">
        <v>94</v>
      </c>
      <c r="T262" t="s">
        <v>2766</v>
      </c>
      <c r="U262" t="s">
        <v>62</v>
      </c>
      <c r="V262">
        <v>4326885106</v>
      </c>
      <c r="W262" s="1">
        <v>742490</v>
      </c>
      <c r="X262">
        <v>2</v>
      </c>
      <c r="Y262">
        <v>2</v>
      </c>
      <c r="Z262">
        <v>1988</v>
      </c>
      <c r="AA262" t="s">
        <v>70</v>
      </c>
      <c r="AB262" t="s">
        <v>2767</v>
      </c>
      <c r="AC262" t="s">
        <v>98</v>
      </c>
      <c r="AD262" t="s">
        <v>119</v>
      </c>
      <c r="AE262">
        <v>1382</v>
      </c>
      <c r="AF262" t="s">
        <v>120</v>
      </c>
      <c r="AG262">
        <v>2911</v>
      </c>
      <c r="AH262" t="s">
        <v>774</v>
      </c>
      <c r="AI262">
        <v>13820000</v>
      </c>
      <c r="AJ262" t="s">
        <v>119</v>
      </c>
      <c r="AK262">
        <v>29110000</v>
      </c>
      <c r="AL262" t="s">
        <v>1320</v>
      </c>
      <c r="AM262">
        <v>213112</v>
      </c>
      <c r="AN262" t="s">
        <v>74</v>
      </c>
      <c r="AO262">
        <v>324110</v>
      </c>
      <c r="AP262" t="s">
        <v>776</v>
      </c>
      <c r="AQ262" t="s">
        <v>75</v>
      </c>
      <c r="AT262" t="s">
        <v>76</v>
      </c>
      <c r="BF262">
        <v>0</v>
      </c>
      <c r="BG262">
        <v>0</v>
      </c>
      <c r="CK262" s="19">
        <f>IF(BQ262&gt;0,BQ262,W262)</f>
        <v>742490</v>
      </c>
      <c r="CL262" s="20">
        <f>IF(BS262&gt;0,BS262,Y262)</f>
        <v>2</v>
      </c>
      <c r="CM262" s="34">
        <f>IF(CG262&gt;0,CG262,AM262)</f>
        <v>213112</v>
      </c>
      <c r="CN262" s="80">
        <f>IF($BH262="",1,COUNTIF($BH$3:$BH262,$BH262))</f>
        <v>1</v>
      </c>
      <c r="CP262" t="str">
        <f>IF($K262="Standard Match","Match",IF($K262="Name Only Match",IF($CO262="Yes","Match","Name Only Match"),"No Match"))</f>
        <v>Match</v>
      </c>
      <c r="CQ262" s="35" t="str">
        <f>IF(AND(CP262="Match",CK262&gt;0,CL262&gt;0),"Y","N")</f>
        <v>Y</v>
      </c>
      <c r="CS262" t="str">
        <f>IF($CQ262="Y",VLOOKUP($CM262,'SBA Size Standards'!$B$3:$G$57,MATCH('SBA Size Standards'!$G$3,'SBA Size Standards'!$B$3:$G$3,0),FALSE),"")</f>
        <v>Revenue</v>
      </c>
      <c r="CT262" s="60">
        <f>IF(CQ262="Y",IF($CS262="Employment","N/A",VLOOKUP($CM262,'SBA Size Standards'!$B$3:$G$57,MATCH('SBA Size Standards'!$E$3,'SBA Size Standards'!$B$3:$G$3,0),FALSE)),"")</f>
        <v>41500000</v>
      </c>
      <c r="CU262" s="86" t="str">
        <f>IF($CQ262="Y",IF($CS262="Revenue","N/A",VLOOKUP($CM262,'SBA Size Standards'!$B$3:$G$57,MATCH('SBA Size Standards'!$F$3,'SBA Size Standards'!$B$3:$G$3,0),FALSE)),"")</f>
        <v>N/A</v>
      </c>
      <c r="CV262" t="str">
        <f>IF($CQ262="Y",IF(OR(AND($CS262="Employment",$CL262&lt;$CU262),AND($CS262="Revenue",$CK262&lt;$CT262)),"YES","NO"),"")</f>
        <v>YES</v>
      </c>
      <c r="CW262" s="90" t="str">
        <f>IF($CQ262="Y",INDEX('SBA Size Standards'!$N$3:$N$12,MATCH($CK262,'SBA Size Standards'!$O$3:$O$12,1)),"")</f>
        <v>$500,001 - $1,000,000</v>
      </c>
      <c r="CX262" s="122" t="s">
        <v>4725</v>
      </c>
      <c r="CY262" s="122">
        <f>INDEX('NM O&amp;G Production'!$P$3:$P$537,MATCH(CX262,'NM O&amp;G Production'!$Q$3:$Q$537,0))</f>
        <v>400</v>
      </c>
      <c r="CZ262" s="122" t="str">
        <f>INDEX('NM O&amp;G Production'!$O$3:$O$537,MATCH(CY262,'NM O&amp;G Production'!$P$3:$P$537,0))</f>
        <v>Yes</v>
      </c>
      <c r="DA262" s="127">
        <f>INDEX('NM O&amp;G Production'!$K$3:$O$537,MATCH($CY262,'NM O&amp;G Production'!$P$3:$P$537,0),MATCH(DA$2,'NM O&amp;G Production'!$K$2:$O$2,0))</f>
        <v>2</v>
      </c>
      <c r="DB262" s="127">
        <f>INDEX('NM O&amp;G Production'!$K$3:$O$537,MATCH($CY262,'NM O&amp;G Production'!$P$3:$P$537,0),MATCH(DB$2,'NM O&amp;G Production'!$K$2:$O$2,0))</f>
        <v>13</v>
      </c>
      <c r="DC262" s="127">
        <f>DA262+DB262</f>
        <v>15</v>
      </c>
      <c r="DD262" s="127">
        <f>INDEX('NM O&amp;G Production'!$K$3:$O$537,MATCH($CY262,'NM O&amp;G Production'!$P$3:$P$537,0),MATCH(DD$2,'NM O&amp;G Production'!$K$2:$O$2,0))</f>
        <v>34156</v>
      </c>
      <c r="DE262" s="127">
        <f>INDEX('NM O&amp;G Production'!$K$3:$O$537,MATCH($CY262,'NM O&amp;G Production'!$P$3:$P$537,0),MATCH(DE$2,'NM O&amp;G Production'!$K$2:$O$2,0))</f>
        <v>7077</v>
      </c>
      <c r="DF262" s="258">
        <f>CK262/(DB262+DA262)</f>
        <v>49499.333333333336</v>
      </c>
      <c r="DG262" s="57">
        <f>DD262*(12/18)*1.06*'Oil and Gas Prices'!$C$18</f>
        <v>57687.206933333335</v>
      </c>
      <c r="DH262" s="284">
        <f>DE262*(12/18)*'Oil and Gas Prices'!$C$4</f>
        <v>212310</v>
      </c>
      <c r="DI262" s="284">
        <f>DG262+DH262</f>
        <v>269997.20693333331</v>
      </c>
      <c r="DJ262" s="57">
        <f>(DG262+DH262)/(DA262+DB262)</f>
        <v>17999.813795555554</v>
      </c>
      <c r="DK262" s="318"/>
    </row>
    <row r="263" spans="1:115" x14ac:dyDescent="0.25">
      <c r="A263" t="s">
        <v>3262</v>
      </c>
      <c r="B263" t="s">
        <v>3263</v>
      </c>
      <c r="D263" t="s">
        <v>513</v>
      </c>
      <c r="E263" t="s">
        <v>84</v>
      </c>
      <c r="F263">
        <v>88231</v>
      </c>
      <c r="G263" t="s">
        <v>62</v>
      </c>
      <c r="I263">
        <v>480</v>
      </c>
      <c r="J263" t="s">
        <v>63</v>
      </c>
      <c r="K263" t="s">
        <v>4133</v>
      </c>
      <c r="L263" t="s">
        <v>149</v>
      </c>
      <c r="M263">
        <v>10</v>
      </c>
      <c r="N263" t="s">
        <v>3264</v>
      </c>
      <c r="O263" t="s">
        <v>3265</v>
      </c>
      <c r="Q263" t="s">
        <v>3266</v>
      </c>
      <c r="R263" t="s">
        <v>513</v>
      </c>
      <c r="S263" t="s">
        <v>214</v>
      </c>
      <c r="T263" t="s">
        <v>3267</v>
      </c>
      <c r="U263" t="s">
        <v>62</v>
      </c>
      <c r="V263">
        <v>5753942463</v>
      </c>
      <c r="W263" s="1">
        <v>733639</v>
      </c>
      <c r="X263">
        <v>4</v>
      </c>
      <c r="Y263">
        <v>4</v>
      </c>
      <c r="Z263">
        <v>1984</v>
      </c>
      <c r="AA263" t="s">
        <v>70</v>
      </c>
      <c r="AB263" t="s">
        <v>3268</v>
      </c>
      <c r="AC263" t="s">
        <v>98</v>
      </c>
      <c r="AD263" t="s">
        <v>71</v>
      </c>
      <c r="AE263">
        <v>1389</v>
      </c>
      <c r="AF263" t="s">
        <v>72</v>
      </c>
      <c r="AG263">
        <v>1311</v>
      </c>
      <c r="AH263" t="s">
        <v>100</v>
      </c>
      <c r="AI263">
        <v>13899912</v>
      </c>
      <c r="AJ263" t="s">
        <v>426</v>
      </c>
      <c r="AK263">
        <v>13110100</v>
      </c>
      <c r="AL263" t="s">
        <v>411</v>
      </c>
      <c r="AM263">
        <v>213112</v>
      </c>
      <c r="AN263" t="s">
        <v>74</v>
      </c>
      <c r="AO263">
        <v>211120</v>
      </c>
      <c r="AP263" t="s">
        <v>104</v>
      </c>
      <c r="AQ263" t="s">
        <v>75</v>
      </c>
      <c r="AT263" t="s">
        <v>76</v>
      </c>
      <c r="BF263">
        <v>0</v>
      </c>
      <c r="BG263">
        <v>0</v>
      </c>
      <c r="CK263" s="19">
        <f>IF(BQ263&gt;0,BQ263,W263)</f>
        <v>733639</v>
      </c>
      <c r="CL263" s="20">
        <f>IF(BS263&gt;0,BS263,Y263)</f>
        <v>4</v>
      </c>
      <c r="CM263" s="34">
        <f>IF(CG263&gt;0,CG263,AM263)</f>
        <v>213112</v>
      </c>
      <c r="CN263" s="80">
        <f>IF($BH263="",1,COUNTIF($BH$3:$BH263,$BH263))</f>
        <v>1</v>
      </c>
      <c r="CP263" t="str">
        <f>IF($K263="Standard Match","Match",IF($K263="Name Only Match",IF($CO263="Yes","Match","Name Only Match"),"No Match"))</f>
        <v>Match</v>
      </c>
      <c r="CQ263" s="35" t="str">
        <f>IF(AND(CP263="Match",CK263&gt;0,CL263&gt;0),"Y","N")</f>
        <v>Y</v>
      </c>
      <c r="CS263" t="str">
        <f>IF($CQ263="Y",VLOOKUP($CM263,'SBA Size Standards'!$B$3:$G$57,MATCH('SBA Size Standards'!$G$3,'SBA Size Standards'!$B$3:$G$3,0),FALSE),"")</f>
        <v>Revenue</v>
      </c>
      <c r="CT263" s="60">
        <f>IF(CQ263="Y",IF($CS263="Employment","N/A",VLOOKUP($CM263,'SBA Size Standards'!$B$3:$G$57,MATCH('SBA Size Standards'!$E$3,'SBA Size Standards'!$B$3:$G$3,0),FALSE)),"")</f>
        <v>41500000</v>
      </c>
      <c r="CU263" s="86" t="str">
        <f>IF($CQ263="Y",IF($CS263="Revenue","N/A",VLOOKUP($CM263,'SBA Size Standards'!$B$3:$G$57,MATCH('SBA Size Standards'!$F$3,'SBA Size Standards'!$B$3:$G$3,0),FALSE)),"")</f>
        <v>N/A</v>
      </c>
      <c r="CV263" t="str">
        <f>IF($CQ263="Y",IF(OR(AND($CS263="Employment",$CL263&lt;$CU263),AND($CS263="Revenue",$CK263&lt;$CT263)),"YES","NO"),"")</f>
        <v>YES</v>
      </c>
      <c r="CW263" s="90" t="str">
        <f>IF($CQ263="Y",INDEX('SBA Size Standards'!$N$3:$N$12,MATCH($CK263,'SBA Size Standards'!$O$3:$O$12,1)),"")</f>
        <v>$500,001 - $1,000,000</v>
      </c>
      <c r="CX263" s="122" t="s">
        <v>4766</v>
      </c>
      <c r="CY263" s="122">
        <f>INDEX('NM O&amp;G Production'!$P$3:$P$537,MATCH(CX263,'NM O&amp;G Production'!$Q$3:$Q$537,0))</f>
        <v>480</v>
      </c>
      <c r="CZ263" s="122" t="str">
        <f>INDEX('NM O&amp;G Production'!$O$3:$O$537,MATCH(CY263,'NM O&amp;G Production'!$P$3:$P$537,0))</f>
        <v>Yes</v>
      </c>
      <c r="DA263" s="127">
        <f>INDEX('NM O&amp;G Production'!$K$3:$O$537,MATCH($CY263,'NM O&amp;G Production'!$P$3:$P$537,0),MATCH(DA$2,'NM O&amp;G Production'!$K$2:$O$2,0))</f>
        <v>0</v>
      </c>
      <c r="DB263" s="127">
        <f>INDEX('NM O&amp;G Production'!$K$3:$O$537,MATCH($CY263,'NM O&amp;G Production'!$P$3:$P$537,0),MATCH(DB$2,'NM O&amp;G Production'!$K$2:$O$2,0))</f>
        <v>4</v>
      </c>
      <c r="DC263" s="127">
        <f>DA263+DB263</f>
        <v>4</v>
      </c>
      <c r="DD263" s="127">
        <f>INDEX('NM O&amp;G Production'!$K$3:$O$537,MATCH($CY263,'NM O&amp;G Production'!$P$3:$P$537,0),MATCH(DD$2,'NM O&amp;G Production'!$K$2:$O$2,0))</f>
        <v>0</v>
      </c>
      <c r="DE263" s="127">
        <f>INDEX('NM O&amp;G Production'!$K$3:$O$537,MATCH($CY263,'NM O&amp;G Production'!$P$3:$P$537,0),MATCH(DE$2,'NM O&amp;G Production'!$K$2:$O$2,0))</f>
        <v>405</v>
      </c>
      <c r="DF263" s="258">
        <f>CK263/(DB263+DA263)</f>
        <v>183409.75</v>
      </c>
      <c r="DG263" s="57">
        <f>DD263*(12/18)*1.06*'Oil and Gas Prices'!$C$18</f>
        <v>0</v>
      </c>
      <c r="DH263" s="284">
        <f>DE263*(12/18)*'Oil and Gas Prices'!$C$4</f>
        <v>12150</v>
      </c>
      <c r="DI263" s="284">
        <f>DG263+DH263</f>
        <v>12150</v>
      </c>
      <c r="DJ263" s="57">
        <f>(DG263+DH263)/(DA263+DB263)</f>
        <v>3037.5</v>
      </c>
      <c r="DK263" s="319"/>
    </row>
    <row r="264" spans="1:115" x14ac:dyDescent="0.25">
      <c r="A264" t="s">
        <v>1849</v>
      </c>
      <c r="B264" t="s">
        <v>1850</v>
      </c>
      <c r="D264" t="s">
        <v>378</v>
      </c>
      <c r="E264" t="s">
        <v>80</v>
      </c>
      <c r="F264">
        <v>75206</v>
      </c>
      <c r="G264" t="s">
        <v>62</v>
      </c>
      <c r="I264">
        <v>254</v>
      </c>
      <c r="J264" t="s">
        <v>63</v>
      </c>
      <c r="K264" t="s">
        <v>4133</v>
      </c>
      <c r="L264" t="s">
        <v>1038</v>
      </c>
      <c r="M264">
        <v>9</v>
      </c>
      <c r="N264" t="s">
        <v>1851</v>
      </c>
      <c r="O264" t="s">
        <v>1852</v>
      </c>
      <c r="Q264" t="s">
        <v>1853</v>
      </c>
      <c r="R264" t="s">
        <v>378</v>
      </c>
      <c r="S264" t="s">
        <v>94</v>
      </c>
      <c r="T264" t="s">
        <v>1854</v>
      </c>
      <c r="U264" t="s">
        <v>62</v>
      </c>
      <c r="V264">
        <v>2143617010</v>
      </c>
      <c r="W264" s="1">
        <v>725122</v>
      </c>
      <c r="X264">
        <v>4</v>
      </c>
      <c r="Y264">
        <v>4</v>
      </c>
      <c r="Z264">
        <v>1956</v>
      </c>
      <c r="AA264" t="s">
        <v>70</v>
      </c>
      <c r="AB264" t="s">
        <v>1855</v>
      </c>
      <c r="AC264" t="s">
        <v>133</v>
      </c>
      <c r="AD264" t="s">
        <v>1816</v>
      </c>
      <c r="AE264">
        <v>6792</v>
      </c>
      <c r="AF264" t="s">
        <v>1447</v>
      </c>
      <c r="AI264">
        <v>67929901</v>
      </c>
      <c r="AJ264" t="s">
        <v>1448</v>
      </c>
      <c r="AM264">
        <v>533110</v>
      </c>
      <c r="AN264" t="s">
        <v>1449</v>
      </c>
      <c r="AQ264" t="s">
        <v>75</v>
      </c>
      <c r="AT264" t="s">
        <v>76</v>
      </c>
      <c r="BF264">
        <v>0</v>
      </c>
      <c r="BG264">
        <v>0</v>
      </c>
      <c r="CK264" s="19">
        <f>IF(BQ264&gt;0,BQ264,W264)</f>
        <v>725122</v>
      </c>
      <c r="CL264" s="20">
        <f>IF(BS264&gt;0,BS264,Y264)</f>
        <v>4</v>
      </c>
      <c r="CM264" s="34">
        <f>IF(CG264&gt;0,CG264,AM264)</f>
        <v>533110</v>
      </c>
      <c r="CN264" s="80">
        <f>IF($BH264="",1,COUNTIF($BH$3:$BH264,$BH264))</f>
        <v>1</v>
      </c>
      <c r="CP264" t="str">
        <f>IF($K264="Standard Match","Match",IF($K264="Name Only Match",IF($CO264="Yes","Match","Name Only Match"),"No Match"))</f>
        <v>Match</v>
      </c>
      <c r="CQ264" s="35" t="str">
        <f>IF(AND(CP264="Match",CK264&gt;0,CL264&gt;0),"Y","N")</f>
        <v>Y</v>
      </c>
      <c r="CS264" t="str">
        <f>IF($CQ264="Y",VLOOKUP($CM264,'SBA Size Standards'!$B$3:$G$57,MATCH('SBA Size Standards'!$G$3,'SBA Size Standards'!$B$3:$G$3,0),FALSE),"")</f>
        <v>Revenue</v>
      </c>
      <c r="CT264" s="60">
        <f>IF(CQ264="Y",IF($CS264="Employment","N/A",VLOOKUP($CM264,'SBA Size Standards'!$B$3:$G$57,MATCH('SBA Size Standards'!$E$3,'SBA Size Standards'!$B$3:$G$3,0),FALSE)),"")</f>
        <v>41500000</v>
      </c>
      <c r="CU264" s="86" t="str">
        <f>IF($CQ264="Y",IF($CS264="Revenue","N/A",VLOOKUP($CM264,'SBA Size Standards'!$B$3:$G$57,MATCH('SBA Size Standards'!$F$3,'SBA Size Standards'!$B$3:$G$3,0),FALSE)),"")</f>
        <v>N/A</v>
      </c>
      <c r="CV264" t="str">
        <f>IF($CQ264="Y",IF(OR(AND($CS264="Employment",$CL264&lt;$CU264),AND($CS264="Revenue",$CK264&lt;$CT264)),"YES","NO"),"")</f>
        <v>YES</v>
      </c>
      <c r="CW264" s="90" t="str">
        <f>IF($CQ264="Y",INDEX('SBA Size Standards'!$N$3:$N$12,MATCH($CK264,'SBA Size Standards'!$O$3:$O$12,1)),"")</f>
        <v>$500,001 - $1,000,000</v>
      </c>
      <c r="CX264" s="122" t="s">
        <v>4792</v>
      </c>
      <c r="CY264" s="122">
        <f>INDEX('NM O&amp;G Production'!$P$3:$P$537,MATCH(CX264,'NM O&amp;G Production'!$Q$3:$Q$537,0))</f>
        <v>254</v>
      </c>
      <c r="CZ264" s="122" t="str">
        <f>INDEX('NM O&amp;G Production'!$O$3:$O$537,MATCH(CY264,'NM O&amp;G Production'!$P$3:$P$537,0))</f>
        <v>Yes</v>
      </c>
      <c r="DA264" s="127">
        <f>INDEX('NM O&amp;G Production'!$K$3:$O$537,MATCH($CY264,'NM O&amp;G Production'!$P$3:$P$537,0),MATCH(DA$2,'NM O&amp;G Production'!$K$2:$O$2,0))</f>
        <v>0</v>
      </c>
      <c r="DB264" s="127">
        <f>INDEX('NM O&amp;G Production'!$K$3:$O$537,MATCH($CY264,'NM O&amp;G Production'!$P$3:$P$537,0),MATCH(DB$2,'NM O&amp;G Production'!$K$2:$O$2,0))</f>
        <v>2</v>
      </c>
      <c r="DC264" s="127">
        <f>DA264+DB264</f>
        <v>2</v>
      </c>
      <c r="DD264" s="127">
        <f>INDEX('NM O&amp;G Production'!$K$3:$O$537,MATCH($CY264,'NM O&amp;G Production'!$P$3:$P$537,0),MATCH(DD$2,'NM O&amp;G Production'!$K$2:$O$2,0))</f>
        <v>21971</v>
      </c>
      <c r="DE264" s="127">
        <f>INDEX('NM O&amp;G Production'!$K$3:$O$537,MATCH($CY264,'NM O&amp;G Production'!$P$3:$P$537,0),MATCH(DE$2,'NM O&amp;G Production'!$K$2:$O$2,0))</f>
        <v>0</v>
      </c>
      <c r="DF264" s="258">
        <f>CK264/(DB264+DA264)</f>
        <v>362561</v>
      </c>
      <c r="DG264" s="57">
        <f>DD264*(12/18)*1.06*'Oil and Gas Prices'!$C$18</f>
        <v>37107.554266666666</v>
      </c>
      <c r="DH264" s="284">
        <f>DE264*(12/18)*'Oil and Gas Prices'!$C$4</f>
        <v>0</v>
      </c>
      <c r="DI264" s="284">
        <f>DG264+DH264</f>
        <v>37107.554266666666</v>
      </c>
      <c r="DJ264" s="57">
        <f>(DG264+DH264)/(DA264+DB264)</f>
        <v>18553.777133333333</v>
      </c>
      <c r="DK264" s="319"/>
    </row>
    <row r="265" spans="1:115" x14ac:dyDescent="0.25">
      <c r="A265" t="s">
        <v>2554</v>
      </c>
      <c r="B265" t="s">
        <v>2555</v>
      </c>
      <c r="D265" t="s">
        <v>60</v>
      </c>
      <c r="E265" t="s">
        <v>61</v>
      </c>
      <c r="F265">
        <v>80206</v>
      </c>
      <c r="G265" t="s">
        <v>62</v>
      </c>
      <c r="I265">
        <v>368</v>
      </c>
      <c r="J265" t="s">
        <v>63</v>
      </c>
      <c r="K265" t="s">
        <v>4133</v>
      </c>
      <c r="L265" t="s">
        <v>64</v>
      </c>
      <c r="M265">
        <v>10</v>
      </c>
      <c r="N265" t="s">
        <v>2556</v>
      </c>
      <c r="O265" t="s">
        <v>2557</v>
      </c>
      <c r="Q265" t="s">
        <v>2558</v>
      </c>
      <c r="R265" t="s">
        <v>60</v>
      </c>
      <c r="S265" t="s">
        <v>68</v>
      </c>
      <c r="T265" t="s">
        <v>2559</v>
      </c>
      <c r="U265" t="s">
        <v>62</v>
      </c>
      <c r="V265">
        <v>3037555681</v>
      </c>
      <c r="W265" s="1">
        <v>715986</v>
      </c>
      <c r="X265">
        <v>3</v>
      </c>
      <c r="Y265">
        <v>3</v>
      </c>
      <c r="Z265">
        <v>1980</v>
      </c>
      <c r="AA265" t="s">
        <v>70</v>
      </c>
      <c r="AB265" t="s">
        <v>2560</v>
      </c>
      <c r="AC265" t="s">
        <v>98</v>
      </c>
      <c r="AD265" t="s">
        <v>99</v>
      </c>
      <c r="AE265">
        <v>1311</v>
      </c>
      <c r="AF265" t="s">
        <v>100</v>
      </c>
      <c r="AG265">
        <v>1382</v>
      </c>
      <c r="AH265" t="s">
        <v>120</v>
      </c>
      <c r="AI265">
        <v>13110101</v>
      </c>
      <c r="AJ265" t="s">
        <v>102</v>
      </c>
      <c r="AK265">
        <v>13820000</v>
      </c>
      <c r="AL265" t="s">
        <v>119</v>
      </c>
      <c r="AM265">
        <v>211120</v>
      </c>
      <c r="AN265" t="s">
        <v>104</v>
      </c>
      <c r="AO265">
        <v>213112</v>
      </c>
      <c r="AP265" t="s">
        <v>74</v>
      </c>
      <c r="AQ265" t="s">
        <v>75</v>
      </c>
      <c r="AT265" t="s">
        <v>76</v>
      </c>
      <c r="BF265">
        <v>0</v>
      </c>
      <c r="BG265">
        <v>0</v>
      </c>
      <c r="CK265" s="19">
        <f>IF(BQ265&gt;0,BQ265,W265)</f>
        <v>715986</v>
      </c>
      <c r="CL265" s="20">
        <f>IF(BS265&gt;0,BS265,Y265)</f>
        <v>3</v>
      </c>
      <c r="CM265" s="34">
        <f>IF(CG265&gt;0,CG265,AM265)</f>
        <v>211120</v>
      </c>
      <c r="CN265" s="80">
        <f>IF($BH265="",1,COUNTIF($BH$3:$BH265,$BH265))</f>
        <v>1</v>
      </c>
      <c r="CP265" t="str">
        <f>IF($K265="Standard Match","Match",IF($K265="Name Only Match",IF($CO265="Yes","Match","Name Only Match"),"No Match"))</f>
        <v>Match</v>
      </c>
      <c r="CQ265" s="35" t="str">
        <f>IF(AND(CP265="Match",CK265&gt;0,CL265&gt;0),"Y","N")</f>
        <v>Y</v>
      </c>
      <c r="CS265" t="str">
        <f>IF($CQ265="Y",VLOOKUP($CM265,'SBA Size Standards'!$B$3:$G$57,MATCH('SBA Size Standards'!$G$3,'SBA Size Standards'!$B$3:$G$3,0),FALSE),"")</f>
        <v>Employment</v>
      </c>
      <c r="CT265" s="60" t="str">
        <f>IF(CQ265="Y",IF($CS265="Employment","N/A",VLOOKUP($CM265,'SBA Size Standards'!$B$3:$G$57,MATCH('SBA Size Standards'!$E$3,'SBA Size Standards'!$B$3:$G$3,0),FALSE)),"")</f>
        <v>N/A</v>
      </c>
      <c r="CU265" s="86">
        <f>IF($CQ265="Y",IF($CS265="Revenue","N/A",VLOOKUP($CM265,'SBA Size Standards'!$B$3:$G$57,MATCH('SBA Size Standards'!$F$3,'SBA Size Standards'!$B$3:$G$3,0),FALSE)),"")</f>
        <v>1250</v>
      </c>
      <c r="CV265" t="str">
        <f>IF($CQ265="Y",IF(OR(AND($CS265="Employment",$CL265&lt;$CU265),AND($CS265="Revenue",$CK265&lt;$CT265)),"YES","NO"),"")</f>
        <v>YES</v>
      </c>
      <c r="CW265" s="90" t="str">
        <f>IF($CQ265="Y",INDEX('SBA Size Standards'!$N$3:$N$12,MATCH($CK265,'SBA Size Standards'!$O$3:$O$12,1)),"")</f>
        <v>$500,001 - $1,000,000</v>
      </c>
      <c r="CX265" s="122" t="s">
        <v>4704</v>
      </c>
      <c r="CY265" s="122">
        <f>INDEX('NM O&amp;G Production'!$P$3:$P$537,MATCH(CX265,'NM O&amp;G Production'!$Q$3:$Q$537,0))</f>
        <v>368</v>
      </c>
      <c r="CZ265" s="122" t="str">
        <f>INDEX('NM O&amp;G Production'!$O$3:$O$537,MATCH(CY265,'NM O&amp;G Production'!$P$3:$P$537,0))</f>
        <v>Yes</v>
      </c>
      <c r="DA265" s="127">
        <f>INDEX('NM O&amp;G Production'!$K$3:$O$537,MATCH($CY265,'NM O&amp;G Production'!$P$3:$P$537,0),MATCH(DA$2,'NM O&amp;G Production'!$K$2:$O$2,0))</f>
        <v>13</v>
      </c>
      <c r="DB265" s="127">
        <f>INDEX('NM O&amp;G Production'!$K$3:$O$537,MATCH($CY265,'NM O&amp;G Production'!$P$3:$P$537,0),MATCH(DB$2,'NM O&amp;G Production'!$K$2:$O$2,0))</f>
        <v>7</v>
      </c>
      <c r="DC265" s="127">
        <f>DA265+DB265</f>
        <v>20</v>
      </c>
      <c r="DD265" s="127">
        <f>INDEX('NM O&amp;G Production'!$K$3:$O$537,MATCH($CY265,'NM O&amp;G Production'!$P$3:$P$537,0),MATCH(DD$2,'NM O&amp;G Production'!$K$2:$O$2,0))</f>
        <v>497813</v>
      </c>
      <c r="DE265" s="127">
        <f>INDEX('NM O&amp;G Production'!$K$3:$O$537,MATCH($CY265,'NM O&amp;G Production'!$P$3:$P$537,0),MATCH(DE$2,'NM O&amp;G Production'!$K$2:$O$2,0))</f>
        <v>313416</v>
      </c>
      <c r="DF265" s="258">
        <f>CK265/(DB265+DA265)</f>
        <v>35799.300000000003</v>
      </c>
      <c r="DG265" s="57">
        <f>DD265*(12/18)*1.06*'Oil and Gas Prices'!$C$18</f>
        <v>840772.96946666669</v>
      </c>
      <c r="DH265" s="284">
        <f>DE265*(12/18)*'Oil and Gas Prices'!$C$4</f>
        <v>9402480</v>
      </c>
      <c r="DI265" s="284">
        <f>DG265+DH265</f>
        <v>10243252.969466668</v>
      </c>
      <c r="DJ265" s="57">
        <f>(DG265+DH265)/(DA265+DB265)</f>
        <v>512162.64847333339</v>
      </c>
      <c r="DK265" s="318"/>
    </row>
    <row r="266" spans="1:115" x14ac:dyDescent="0.25">
      <c r="A266" t="s">
        <v>2677</v>
      </c>
      <c r="B266" t="s">
        <v>2678</v>
      </c>
      <c r="D266" t="s">
        <v>153</v>
      </c>
      <c r="E266" t="s">
        <v>80</v>
      </c>
      <c r="F266">
        <v>79704</v>
      </c>
      <c r="G266" t="s">
        <v>62</v>
      </c>
      <c r="I266">
        <v>387</v>
      </c>
      <c r="J266" t="s">
        <v>63</v>
      </c>
      <c r="K266" t="s">
        <v>4133</v>
      </c>
      <c r="L266" t="s">
        <v>419</v>
      </c>
      <c r="M266">
        <v>8</v>
      </c>
      <c r="N266" t="s">
        <v>2679</v>
      </c>
      <c r="O266" t="s">
        <v>2680</v>
      </c>
      <c r="Q266" t="s">
        <v>2681</v>
      </c>
      <c r="R266" t="s">
        <v>153</v>
      </c>
      <c r="S266" t="s">
        <v>94</v>
      </c>
      <c r="T266" t="s">
        <v>2682</v>
      </c>
      <c r="U266" t="s">
        <v>62</v>
      </c>
      <c r="V266">
        <v>4326956997</v>
      </c>
      <c r="W266" s="1">
        <v>705228</v>
      </c>
      <c r="X266">
        <v>15</v>
      </c>
      <c r="Y266">
        <v>15</v>
      </c>
      <c r="Z266">
        <v>2016</v>
      </c>
      <c r="AA266" t="s">
        <v>70</v>
      </c>
      <c r="AB266" t="s">
        <v>2683</v>
      </c>
      <c r="AC266" t="s">
        <v>145</v>
      </c>
      <c r="AD266" t="s">
        <v>99</v>
      </c>
      <c r="AE266">
        <v>1311</v>
      </c>
      <c r="AF266" t="s">
        <v>100</v>
      </c>
      <c r="AI266">
        <v>13110000</v>
      </c>
      <c r="AJ266" t="s">
        <v>276</v>
      </c>
      <c r="AM266">
        <v>211120</v>
      </c>
      <c r="AN266" t="s">
        <v>104</v>
      </c>
      <c r="AQ266" t="s">
        <v>75</v>
      </c>
      <c r="AT266" t="s">
        <v>76</v>
      </c>
      <c r="BF266">
        <v>0</v>
      </c>
      <c r="BG266">
        <v>0</v>
      </c>
      <c r="CK266" s="19">
        <f>IF(BQ266&gt;0,BQ266,W266)</f>
        <v>705228</v>
      </c>
      <c r="CL266" s="20">
        <f>IF(BS266&gt;0,BS266,Y266)</f>
        <v>15</v>
      </c>
      <c r="CM266" s="34">
        <f>IF(CG266&gt;0,CG266,AM266)</f>
        <v>211120</v>
      </c>
      <c r="CN266" s="80">
        <f>IF($BH266="",1,COUNTIF($BH$3:$BH266,$BH266))</f>
        <v>1</v>
      </c>
      <c r="CP266" t="str">
        <f>IF($K266="Standard Match","Match",IF($K266="Name Only Match",IF($CO266="Yes","Match","Name Only Match"),"No Match"))</f>
        <v>Match</v>
      </c>
      <c r="CQ266" s="35" t="str">
        <f>IF(AND(CP266="Match",CK266&gt;0,CL266&gt;0),"Y","N")</f>
        <v>Y</v>
      </c>
      <c r="CS266" t="str">
        <f>IF($CQ266="Y",VLOOKUP($CM266,'SBA Size Standards'!$B$3:$G$57,MATCH('SBA Size Standards'!$G$3,'SBA Size Standards'!$B$3:$G$3,0),FALSE),"")</f>
        <v>Employment</v>
      </c>
      <c r="CT266" s="60" t="str">
        <f>IF(CQ266="Y",IF($CS266="Employment","N/A",VLOOKUP($CM266,'SBA Size Standards'!$B$3:$G$57,MATCH('SBA Size Standards'!$E$3,'SBA Size Standards'!$B$3:$G$3,0),FALSE)),"")</f>
        <v>N/A</v>
      </c>
      <c r="CU266" s="86">
        <f>IF($CQ266="Y",IF($CS266="Revenue","N/A",VLOOKUP($CM266,'SBA Size Standards'!$B$3:$G$57,MATCH('SBA Size Standards'!$F$3,'SBA Size Standards'!$B$3:$G$3,0),FALSE)),"")</f>
        <v>1250</v>
      </c>
      <c r="CV266" t="str">
        <f>IF($CQ266="Y",IF(OR(AND($CS266="Employment",$CL266&lt;$CU266),AND($CS266="Revenue",$CK266&lt;$CT266)),"YES","NO"),"")</f>
        <v>YES</v>
      </c>
      <c r="CW266" s="90" t="str">
        <f>IF($CQ266="Y",INDEX('SBA Size Standards'!$N$3:$N$12,MATCH($CK266,'SBA Size Standards'!$O$3:$O$12,1)),"")</f>
        <v>$500,001 - $1,000,000</v>
      </c>
      <c r="CX266" s="122" t="s">
        <v>4890</v>
      </c>
      <c r="CY266" s="122">
        <f>INDEX('NM O&amp;G Production'!$P$3:$P$537,MATCH(CX266,'NM O&amp;G Production'!$Q$3:$Q$537,0))</f>
        <v>387</v>
      </c>
      <c r="CZ266" s="122" t="str">
        <f>INDEX('NM O&amp;G Production'!$O$3:$O$537,MATCH(CY266,'NM O&amp;G Production'!$P$3:$P$537,0))</f>
        <v>Yes</v>
      </c>
      <c r="DA266" s="127">
        <f>INDEX('NM O&amp;G Production'!$K$3:$O$537,MATCH($CY266,'NM O&amp;G Production'!$P$3:$P$537,0),MATCH(DA$2,'NM O&amp;G Production'!$K$2:$O$2,0))</f>
        <v>10</v>
      </c>
      <c r="DB266" s="127">
        <f>INDEX('NM O&amp;G Production'!$K$3:$O$537,MATCH($CY266,'NM O&amp;G Production'!$P$3:$P$537,0),MATCH(DB$2,'NM O&amp;G Production'!$K$2:$O$2,0))</f>
        <v>288</v>
      </c>
      <c r="DC266" s="127">
        <f>DA266+DB266</f>
        <v>298</v>
      </c>
      <c r="DD266" s="127">
        <f>INDEX('NM O&amp;G Production'!$K$3:$O$537,MATCH($CY266,'NM O&amp;G Production'!$P$3:$P$537,0),MATCH(DD$2,'NM O&amp;G Production'!$K$2:$O$2,0))</f>
        <v>133240</v>
      </c>
      <c r="DE266" s="127">
        <f>INDEX('NM O&amp;G Production'!$K$3:$O$537,MATCH($CY266,'NM O&amp;G Production'!$P$3:$P$537,0),MATCH(DE$2,'NM O&amp;G Production'!$K$2:$O$2,0))</f>
        <v>21743</v>
      </c>
      <c r="DF266" s="258">
        <f>CK266/(DB266+DA266)</f>
        <v>2366.5369127516778</v>
      </c>
      <c r="DG266" s="57">
        <f>DD266*(12/18)*1.06*'Oil and Gas Prices'!$C$18</f>
        <v>225033.47733333334</v>
      </c>
      <c r="DH266" s="284">
        <f>DE266*(12/18)*'Oil and Gas Prices'!$C$4</f>
        <v>652290</v>
      </c>
      <c r="DI266" s="284">
        <f>DG266+DH266</f>
        <v>877323.47733333334</v>
      </c>
      <c r="DJ266" s="57">
        <f>(DG266+DH266)/(DA266+DB266)</f>
        <v>2944.038514541387</v>
      </c>
      <c r="DK266" s="318"/>
    </row>
    <row r="267" spans="1:115" x14ac:dyDescent="0.25">
      <c r="A267" t="s">
        <v>2822</v>
      </c>
      <c r="B267" t="s">
        <v>861</v>
      </c>
      <c r="D267" t="s">
        <v>112</v>
      </c>
      <c r="E267" t="s">
        <v>80</v>
      </c>
      <c r="F267">
        <v>77042</v>
      </c>
      <c r="G267" t="s">
        <v>62</v>
      </c>
      <c r="I267">
        <v>410</v>
      </c>
      <c r="J267" t="s">
        <v>63</v>
      </c>
      <c r="K267" t="s">
        <v>4133</v>
      </c>
      <c r="L267" t="s">
        <v>113</v>
      </c>
      <c r="M267">
        <v>8</v>
      </c>
      <c r="N267" t="s">
        <v>2823</v>
      </c>
      <c r="O267" t="s">
        <v>2824</v>
      </c>
      <c r="Q267" t="s">
        <v>2825</v>
      </c>
      <c r="R267" t="s">
        <v>112</v>
      </c>
      <c r="S267" t="s">
        <v>94</v>
      </c>
      <c r="T267" t="s">
        <v>2826</v>
      </c>
      <c r="U267" t="s">
        <v>62</v>
      </c>
      <c r="V267">
        <v>8324361832</v>
      </c>
      <c r="W267" s="1">
        <v>704938</v>
      </c>
      <c r="X267">
        <v>2</v>
      </c>
      <c r="Y267">
        <v>2</v>
      </c>
      <c r="Z267">
        <v>2009</v>
      </c>
      <c r="AA267" t="s">
        <v>70</v>
      </c>
      <c r="AB267" t="s">
        <v>2827</v>
      </c>
      <c r="AC267" t="s">
        <v>133</v>
      </c>
      <c r="AD267" t="s">
        <v>119</v>
      </c>
      <c r="AE267">
        <v>1382</v>
      </c>
      <c r="AF267" t="s">
        <v>120</v>
      </c>
      <c r="AI267">
        <v>13820000</v>
      </c>
      <c r="AJ267" t="s">
        <v>119</v>
      </c>
      <c r="AM267">
        <v>213112</v>
      </c>
      <c r="AN267" t="s">
        <v>74</v>
      </c>
      <c r="AQ267" t="s">
        <v>75</v>
      </c>
      <c r="AT267" t="s">
        <v>76</v>
      </c>
      <c r="BF267">
        <v>0</v>
      </c>
      <c r="BG267">
        <v>0</v>
      </c>
      <c r="CK267" s="19">
        <f>IF(BQ267&gt;0,BQ267,W267)</f>
        <v>704938</v>
      </c>
      <c r="CL267" s="20">
        <f>IF(BS267&gt;0,BS267,Y267)</f>
        <v>2</v>
      </c>
      <c r="CM267" s="34">
        <f>IF(CG267&gt;0,CG267,AM267)</f>
        <v>213112</v>
      </c>
      <c r="CN267" s="80">
        <f>IF($BH267="",1,COUNTIF($BH$3:$BH267,$BH267))</f>
        <v>1</v>
      </c>
      <c r="CP267" t="str">
        <f>IF($K267="Standard Match","Match",IF($K267="Name Only Match",IF($CO267="Yes","Match","Name Only Match"),"No Match"))</f>
        <v>Match</v>
      </c>
      <c r="CQ267" s="35" t="str">
        <f>IF(AND(CP267="Match",CK267&gt;0,CL267&gt;0),"Y","N")</f>
        <v>Y</v>
      </c>
      <c r="CS267" t="str">
        <f>IF($CQ267="Y",VLOOKUP($CM267,'SBA Size Standards'!$B$3:$G$57,MATCH('SBA Size Standards'!$G$3,'SBA Size Standards'!$B$3:$G$3,0),FALSE),"")</f>
        <v>Revenue</v>
      </c>
      <c r="CT267" s="60">
        <f>IF(CQ267="Y",IF($CS267="Employment","N/A",VLOOKUP($CM267,'SBA Size Standards'!$B$3:$G$57,MATCH('SBA Size Standards'!$E$3,'SBA Size Standards'!$B$3:$G$3,0),FALSE)),"")</f>
        <v>41500000</v>
      </c>
      <c r="CU267" s="86" t="str">
        <f>IF($CQ267="Y",IF($CS267="Revenue","N/A",VLOOKUP($CM267,'SBA Size Standards'!$B$3:$G$57,MATCH('SBA Size Standards'!$F$3,'SBA Size Standards'!$B$3:$G$3,0),FALSE)),"")</f>
        <v>N/A</v>
      </c>
      <c r="CV267" t="str">
        <f>IF($CQ267="Y",IF(OR(AND($CS267="Employment",$CL267&lt;$CU267),AND($CS267="Revenue",$CK267&lt;$CT267)),"YES","NO"),"")</f>
        <v>YES</v>
      </c>
      <c r="CW267" s="90" t="str">
        <f>IF($CQ267="Y",INDEX('SBA Size Standards'!$N$3:$N$12,MATCH($CK267,'SBA Size Standards'!$O$3:$O$12,1)),"")</f>
        <v>$500,001 - $1,000,000</v>
      </c>
      <c r="CX267" s="122" t="s">
        <v>4895</v>
      </c>
      <c r="CY267" s="122">
        <f>INDEX('NM O&amp;G Production'!$P$3:$P$537,MATCH(CX267,'NM O&amp;G Production'!$Q$3:$Q$537,0))</f>
        <v>410</v>
      </c>
      <c r="CZ267" s="122" t="str">
        <f>INDEX('NM O&amp;G Production'!$O$3:$O$537,MATCH(CY267,'NM O&amp;G Production'!$P$3:$P$537,0))</f>
        <v>No</v>
      </c>
      <c r="DA267" s="127">
        <f>INDEX('NM O&amp;G Production'!$K$3:$O$537,MATCH($CY267,'NM O&amp;G Production'!$P$3:$P$537,0),MATCH(DA$2,'NM O&amp;G Production'!$K$2:$O$2,0))</f>
        <v>0</v>
      </c>
      <c r="DB267" s="127">
        <f>INDEX('NM O&amp;G Production'!$K$3:$O$537,MATCH($CY267,'NM O&amp;G Production'!$P$3:$P$537,0),MATCH(DB$2,'NM O&amp;G Production'!$K$2:$O$2,0))</f>
        <v>0</v>
      </c>
      <c r="DC267" s="127"/>
      <c r="DD267" s="127">
        <f>INDEX('NM O&amp;G Production'!$K$3:$O$537,MATCH($CY267,'NM O&amp;G Production'!$P$3:$P$537,0),MATCH(DD$2,'NM O&amp;G Production'!$K$2:$O$2,0))</f>
        <v>0</v>
      </c>
      <c r="DE267" s="127">
        <f>INDEX('NM O&amp;G Production'!$K$3:$O$537,MATCH($CY267,'NM O&amp;G Production'!$P$3:$P$537,0),MATCH(DE$2,'NM O&amp;G Production'!$K$2:$O$2,0))</f>
        <v>0</v>
      </c>
      <c r="DF267" s="258" t="e">
        <f>CK267/(DB267+DA267)</f>
        <v>#DIV/0!</v>
      </c>
      <c r="DG267" s="57">
        <f>DD267*(12/18)*1.06*'Oil and Gas Prices'!$C$18</f>
        <v>0</v>
      </c>
      <c r="DH267" s="284">
        <f>DE267*(12/18)*'Oil and Gas Prices'!$C$4</f>
        <v>0</v>
      </c>
      <c r="DI267" s="284"/>
      <c r="DJ267" s="57" t="e">
        <f>(DG267+DH267)/(DA267+DB267)</f>
        <v>#DIV/0!</v>
      </c>
      <c r="DK267" s="18" t="e">
        <f>CK267/DI267</f>
        <v>#DIV/0!</v>
      </c>
    </row>
    <row r="268" spans="1:115" x14ac:dyDescent="0.25">
      <c r="A268" t="s">
        <v>2837</v>
      </c>
      <c r="B268" t="s">
        <v>2838</v>
      </c>
      <c r="D268" t="s">
        <v>418</v>
      </c>
      <c r="E268" t="s">
        <v>80</v>
      </c>
      <c r="F268">
        <v>76308</v>
      </c>
      <c r="G268" t="s">
        <v>62</v>
      </c>
      <c r="I268">
        <v>412</v>
      </c>
      <c r="J268" t="s">
        <v>63</v>
      </c>
      <c r="K268" t="s">
        <v>4133</v>
      </c>
      <c r="L268" t="s">
        <v>419</v>
      </c>
      <c r="M268">
        <v>8</v>
      </c>
      <c r="N268" t="s">
        <v>2839</v>
      </c>
      <c r="O268" t="s">
        <v>2840</v>
      </c>
      <c r="Q268" t="s">
        <v>2841</v>
      </c>
      <c r="R268" t="s">
        <v>418</v>
      </c>
      <c r="S268" t="s">
        <v>94</v>
      </c>
      <c r="T268" t="s">
        <v>2842</v>
      </c>
      <c r="U268" t="s">
        <v>62</v>
      </c>
      <c r="V268">
        <v>9406968077</v>
      </c>
      <c r="W268" s="1">
        <v>703588</v>
      </c>
      <c r="X268">
        <v>5</v>
      </c>
      <c r="Y268">
        <v>5</v>
      </c>
      <c r="Z268">
        <v>1983</v>
      </c>
      <c r="AA268" t="s">
        <v>70</v>
      </c>
      <c r="AB268" t="s">
        <v>2843</v>
      </c>
      <c r="AC268" t="s">
        <v>98</v>
      </c>
      <c r="AD268" t="s">
        <v>99</v>
      </c>
      <c r="AE268">
        <v>1311</v>
      </c>
      <c r="AF268" t="s">
        <v>100</v>
      </c>
      <c r="AI268">
        <v>13110101</v>
      </c>
      <c r="AJ268" t="s">
        <v>102</v>
      </c>
      <c r="AM268">
        <v>211120</v>
      </c>
      <c r="AN268" t="s">
        <v>104</v>
      </c>
      <c r="AQ268" t="s">
        <v>75</v>
      </c>
      <c r="AT268" t="s">
        <v>76</v>
      </c>
      <c r="BF268">
        <v>0</v>
      </c>
      <c r="BG268">
        <v>0</v>
      </c>
      <c r="CK268" s="19">
        <f>IF(BQ268&gt;0,BQ268,W268)</f>
        <v>703588</v>
      </c>
      <c r="CL268" s="20">
        <f>IF(BS268&gt;0,BS268,Y268)</f>
        <v>5</v>
      </c>
      <c r="CM268" s="34">
        <f>IF(CG268&gt;0,CG268,AM268)</f>
        <v>211120</v>
      </c>
      <c r="CN268" s="80">
        <f>IF($BH268="",1,COUNTIF($BH$3:$BH268,$BH268))</f>
        <v>1</v>
      </c>
      <c r="CP268" t="str">
        <f>IF($K268="Standard Match","Match",IF($K268="Name Only Match",IF($CO268="Yes","Match","Name Only Match"),"No Match"))</f>
        <v>Match</v>
      </c>
      <c r="CQ268" s="35" t="str">
        <f>IF(AND(CP268="Match",CK268&gt;0,CL268&gt;0),"Y","N")</f>
        <v>Y</v>
      </c>
      <c r="CS268" t="str">
        <f>IF($CQ268="Y",VLOOKUP($CM268,'SBA Size Standards'!$B$3:$G$57,MATCH('SBA Size Standards'!$G$3,'SBA Size Standards'!$B$3:$G$3,0),FALSE),"")</f>
        <v>Employment</v>
      </c>
      <c r="CT268" s="60" t="str">
        <f>IF(CQ268="Y",IF($CS268="Employment","N/A",VLOOKUP($CM268,'SBA Size Standards'!$B$3:$G$57,MATCH('SBA Size Standards'!$E$3,'SBA Size Standards'!$B$3:$G$3,0),FALSE)),"")</f>
        <v>N/A</v>
      </c>
      <c r="CU268" s="86">
        <f>IF($CQ268="Y",IF($CS268="Revenue","N/A",VLOOKUP($CM268,'SBA Size Standards'!$B$3:$G$57,MATCH('SBA Size Standards'!$F$3,'SBA Size Standards'!$B$3:$G$3,0),FALSE)),"")</f>
        <v>1250</v>
      </c>
      <c r="CV268" t="str">
        <f>IF($CQ268="Y",IF(OR(AND($CS268="Employment",$CL268&lt;$CU268),AND($CS268="Revenue",$CK268&lt;$CT268)),"YES","NO"),"")</f>
        <v>YES</v>
      </c>
      <c r="CW268" s="90" t="str">
        <f>IF($CQ268="Y",INDEX('SBA Size Standards'!$N$3:$N$12,MATCH($CK268,'SBA Size Standards'!$O$3:$O$12,1)),"")</f>
        <v>$500,001 - $1,000,000</v>
      </c>
      <c r="CX268" s="122" t="s">
        <v>4896</v>
      </c>
      <c r="CY268" s="122">
        <f>INDEX('NM O&amp;G Production'!$P$3:$P$537,MATCH(CX268,'NM O&amp;G Production'!$Q$3:$Q$537,0))</f>
        <v>412</v>
      </c>
      <c r="CZ268" s="122" t="str">
        <f>INDEX('NM O&amp;G Production'!$O$3:$O$537,MATCH(CY268,'NM O&amp;G Production'!$P$3:$P$537,0))</f>
        <v>Yes</v>
      </c>
      <c r="DA268" s="127">
        <f>INDEX('NM O&amp;G Production'!$K$3:$O$537,MATCH($CY268,'NM O&amp;G Production'!$P$3:$P$537,0),MATCH(DA$2,'NM O&amp;G Production'!$K$2:$O$2,0))</f>
        <v>0</v>
      </c>
      <c r="DB268" s="127">
        <f>INDEX('NM O&amp;G Production'!$K$3:$O$537,MATCH($CY268,'NM O&amp;G Production'!$P$3:$P$537,0),MATCH(DB$2,'NM O&amp;G Production'!$K$2:$O$2,0))</f>
        <v>4</v>
      </c>
      <c r="DC268" s="127">
        <f>DA268+DB268</f>
        <v>4</v>
      </c>
      <c r="DD268" s="127">
        <f>INDEX('NM O&amp;G Production'!$K$3:$O$537,MATCH($CY268,'NM O&amp;G Production'!$P$3:$P$537,0),MATCH(DD$2,'NM O&amp;G Production'!$K$2:$O$2,0))</f>
        <v>26080</v>
      </c>
      <c r="DE268" s="127">
        <f>INDEX('NM O&amp;G Production'!$K$3:$O$537,MATCH($CY268,'NM O&amp;G Production'!$P$3:$P$537,0),MATCH(DE$2,'NM O&amp;G Production'!$K$2:$O$2,0))</f>
        <v>1959</v>
      </c>
      <c r="DF268" s="258">
        <f>CK268/(DB268+DA268)</f>
        <v>175897</v>
      </c>
      <c r="DG268" s="57">
        <f>DD268*(12/18)*1.06*'Oil and Gas Prices'!$C$18</f>
        <v>44047.381333333331</v>
      </c>
      <c r="DH268" s="284">
        <f>DE268*(12/18)*'Oil and Gas Prices'!$C$4</f>
        <v>58770</v>
      </c>
      <c r="DI268" s="284">
        <f>DG268+DH268</f>
        <v>102817.38133333332</v>
      </c>
      <c r="DJ268" s="57">
        <f>(DG268+DH268)/(DA268+DB268)</f>
        <v>25704.345333333331</v>
      </c>
      <c r="DK268" s="319"/>
    </row>
    <row r="269" spans="1:115" x14ac:dyDescent="0.25">
      <c r="A269" t="s">
        <v>3318</v>
      </c>
      <c r="B269" t="s">
        <v>3319</v>
      </c>
      <c r="D269" t="s">
        <v>153</v>
      </c>
      <c r="E269" t="s">
        <v>80</v>
      </c>
      <c r="F269">
        <v>79708</v>
      </c>
      <c r="G269" t="s">
        <v>62</v>
      </c>
      <c r="I269">
        <v>490</v>
      </c>
      <c r="J269" t="s">
        <v>63</v>
      </c>
      <c r="K269" t="s">
        <v>4133</v>
      </c>
      <c r="L269" t="s">
        <v>279</v>
      </c>
      <c r="M269">
        <v>8</v>
      </c>
      <c r="N269" t="s">
        <v>3320</v>
      </c>
      <c r="O269" t="s">
        <v>3321</v>
      </c>
      <c r="Q269" t="s">
        <v>3322</v>
      </c>
      <c r="R269" t="s">
        <v>153</v>
      </c>
      <c r="S269" t="s">
        <v>94</v>
      </c>
      <c r="T269" t="s">
        <v>3323</v>
      </c>
      <c r="U269" t="s">
        <v>62</v>
      </c>
      <c r="V269">
        <v>4326862027</v>
      </c>
      <c r="W269" s="1">
        <v>700476</v>
      </c>
      <c r="X269">
        <v>3</v>
      </c>
      <c r="Y269">
        <v>3</v>
      </c>
      <c r="Z269">
        <v>1985</v>
      </c>
      <c r="AA269" t="s">
        <v>70</v>
      </c>
      <c r="AB269" t="s">
        <v>3324</v>
      </c>
      <c r="AC269" t="s">
        <v>98</v>
      </c>
      <c r="AD269" t="s">
        <v>119</v>
      </c>
      <c r="AE269">
        <v>1382</v>
      </c>
      <c r="AF269" t="s">
        <v>120</v>
      </c>
      <c r="AI269">
        <v>13820000</v>
      </c>
      <c r="AJ269" t="s">
        <v>119</v>
      </c>
      <c r="AM269">
        <v>213112</v>
      </c>
      <c r="AN269" t="s">
        <v>74</v>
      </c>
      <c r="AQ269" t="s">
        <v>75</v>
      </c>
      <c r="AT269" t="s">
        <v>76</v>
      </c>
      <c r="BF269">
        <v>0</v>
      </c>
      <c r="BG269">
        <v>0</v>
      </c>
      <c r="CK269" s="19">
        <f>IF(BQ269&gt;0,BQ269,W269)</f>
        <v>700476</v>
      </c>
      <c r="CL269" s="20">
        <f>IF(BS269&gt;0,BS269,Y269)</f>
        <v>3</v>
      </c>
      <c r="CM269" s="34">
        <f>IF(CG269&gt;0,CG269,AM269)</f>
        <v>213112</v>
      </c>
      <c r="CN269" s="80">
        <f>IF($BH269="",1,COUNTIF($BH$3:$BH269,$BH269))</f>
        <v>1</v>
      </c>
      <c r="CP269" t="str">
        <f>IF($K269="Standard Match","Match",IF($K269="Name Only Match",IF($CO269="Yes","Match","Name Only Match"),"No Match"))</f>
        <v>Match</v>
      </c>
      <c r="CQ269" s="35" t="str">
        <f>IF(AND(CP269="Match",CK269&gt;0,CL269&gt;0),"Y","N")</f>
        <v>Y</v>
      </c>
      <c r="CS269" t="str">
        <f>IF($CQ269="Y",VLOOKUP($CM269,'SBA Size Standards'!$B$3:$G$57,MATCH('SBA Size Standards'!$G$3,'SBA Size Standards'!$B$3:$G$3,0),FALSE),"")</f>
        <v>Revenue</v>
      </c>
      <c r="CT269" s="60">
        <f>IF(CQ269="Y",IF($CS269="Employment","N/A",VLOOKUP($CM269,'SBA Size Standards'!$B$3:$G$57,MATCH('SBA Size Standards'!$E$3,'SBA Size Standards'!$B$3:$G$3,0),FALSE)),"")</f>
        <v>41500000</v>
      </c>
      <c r="CU269" s="86" t="str">
        <f>IF($CQ269="Y",IF($CS269="Revenue","N/A",VLOOKUP($CM269,'SBA Size Standards'!$B$3:$G$57,MATCH('SBA Size Standards'!$F$3,'SBA Size Standards'!$B$3:$G$3,0),FALSE)),"")</f>
        <v>N/A</v>
      </c>
      <c r="CV269" t="str">
        <f>IF($CQ269="Y",IF(OR(AND($CS269="Employment",$CL269&lt;$CU269),AND($CS269="Revenue",$CK269&lt;$CT269)),"YES","NO"),"")</f>
        <v>YES</v>
      </c>
      <c r="CW269" s="90" t="str">
        <f>IF($CQ269="Y",INDEX('SBA Size Standards'!$N$3:$N$12,MATCH($CK269,'SBA Size Standards'!$O$3:$O$12,1)),"")</f>
        <v>$500,001 - $1,000,000</v>
      </c>
      <c r="CX269" s="122" t="s">
        <v>4915</v>
      </c>
      <c r="CY269" s="122">
        <f>INDEX('NM O&amp;G Production'!$P$3:$P$537,MATCH(CX269,'NM O&amp;G Production'!$Q$3:$Q$537,0))</f>
        <v>490</v>
      </c>
      <c r="CZ269" s="122" t="str">
        <f>INDEX('NM O&amp;G Production'!$O$3:$O$537,MATCH(CY269,'NM O&amp;G Production'!$P$3:$P$537,0))</f>
        <v>Yes</v>
      </c>
      <c r="DA269" s="127">
        <f>INDEX('NM O&amp;G Production'!$K$3:$O$537,MATCH($CY269,'NM O&amp;G Production'!$P$3:$P$537,0),MATCH(DA$2,'NM O&amp;G Production'!$K$2:$O$2,0))</f>
        <v>0</v>
      </c>
      <c r="DB269" s="127">
        <f>INDEX('NM O&amp;G Production'!$K$3:$O$537,MATCH($CY269,'NM O&amp;G Production'!$P$3:$P$537,0),MATCH(DB$2,'NM O&amp;G Production'!$K$2:$O$2,0))</f>
        <v>5</v>
      </c>
      <c r="DC269" s="127">
        <f>DA269+DB269</f>
        <v>5</v>
      </c>
      <c r="DD269" s="127">
        <f>INDEX('NM O&amp;G Production'!$K$3:$O$537,MATCH($CY269,'NM O&amp;G Production'!$P$3:$P$537,0),MATCH(DD$2,'NM O&amp;G Production'!$K$2:$O$2,0))</f>
        <v>11313</v>
      </c>
      <c r="DE269" s="127">
        <f>INDEX('NM O&amp;G Production'!$K$3:$O$537,MATCH($CY269,'NM O&amp;G Production'!$P$3:$P$537,0),MATCH(DE$2,'NM O&amp;G Production'!$K$2:$O$2,0))</f>
        <v>5805</v>
      </c>
      <c r="DF269" s="258">
        <f>CK269/(DB269+DA269)</f>
        <v>140095.20000000001</v>
      </c>
      <c r="DG269" s="57">
        <f>DD269*(12/18)*1.06*'Oil and Gas Prices'!$C$18</f>
        <v>19106.902800000003</v>
      </c>
      <c r="DH269" s="284">
        <f>DE269*(12/18)*'Oil and Gas Prices'!$C$4</f>
        <v>174150</v>
      </c>
      <c r="DI269" s="284">
        <f>DG269+DH269</f>
        <v>193256.90280000001</v>
      </c>
      <c r="DJ269" s="57">
        <f>(DG269+DH269)/(DA269+DB269)</f>
        <v>38651.380560000005</v>
      </c>
      <c r="DK269" s="319"/>
    </row>
    <row r="270" spans="1:115" x14ac:dyDescent="0.25">
      <c r="A270" t="s">
        <v>1829</v>
      </c>
      <c r="B270" t="s">
        <v>1830</v>
      </c>
      <c r="D270" t="s">
        <v>153</v>
      </c>
      <c r="E270" t="s">
        <v>80</v>
      </c>
      <c r="F270">
        <v>79702</v>
      </c>
      <c r="G270" t="s">
        <v>62</v>
      </c>
      <c r="I270">
        <v>251</v>
      </c>
      <c r="J270" t="s">
        <v>63</v>
      </c>
      <c r="K270" t="s">
        <v>4133</v>
      </c>
      <c r="L270" t="s">
        <v>279</v>
      </c>
      <c r="M270">
        <v>8</v>
      </c>
      <c r="N270" t="s">
        <v>1831</v>
      </c>
      <c r="O270" t="s">
        <v>1832</v>
      </c>
      <c r="Q270" t="s">
        <v>1833</v>
      </c>
      <c r="R270" t="s">
        <v>153</v>
      </c>
      <c r="S270" t="s">
        <v>94</v>
      </c>
      <c r="T270" t="s">
        <v>1834</v>
      </c>
      <c r="U270" t="s">
        <v>62</v>
      </c>
      <c r="V270">
        <v>8175420095</v>
      </c>
      <c r="W270" s="1">
        <v>687419</v>
      </c>
      <c r="X270">
        <v>4</v>
      </c>
      <c r="Y270">
        <v>4</v>
      </c>
      <c r="Z270">
        <v>1954</v>
      </c>
      <c r="AA270" t="s">
        <v>163</v>
      </c>
      <c r="AB270" t="s">
        <v>1835</v>
      </c>
      <c r="AC270" t="s">
        <v>923</v>
      </c>
      <c r="AD270" t="s">
        <v>99</v>
      </c>
      <c r="AE270">
        <v>1311</v>
      </c>
      <c r="AF270" t="s">
        <v>100</v>
      </c>
      <c r="AG270">
        <v>6512</v>
      </c>
      <c r="AH270" t="s">
        <v>233</v>
      </c>
      <c r="AI270">
        <v>13110101</v>
      </c>
      <c r="AJ270" t="s">
        <v>102</v>
      </c>
      <c r="AK270">
        <v>65120100</v>
      </c>
      <c r="AL270" t="s">
        <v>1836</v>
      </c>
      <c r="AM270">
        <v>211120</v>
      </c>
      <c r="AN270" t="s">
        <v>104</v>
      </c>
      <c r="AO270">
        <v>531120</v>
      </c>
      <c r="AP270" t="s">
        <v>1837</v>
      </c>
      <c r="AQ270" t="s">
        <v>75</v>
      </c>
      <c r="AR270" t="s">
        <v>1831</v>
      </c>
      <c r="AS270" t="s">
        <v>1832</v>
      </c>
      <c r="AT270" t="s">
        <v>427</v>
      </c>
      <c r="AU270" t="s">
        <v>80</v>
      </c>
      <c r="AV270" t="s">
        <v>62</v>
      </c>
      <c r="AW270" t="s">
        <v>1831</v>
      </c>
      <c r="AX270" t="s">
        <v>1832</v>
      </c>
      <c r="AY270" t="s">
        <v>80</v>
      </c>
      <c r="AZ270" t="s">
        <v>62</v>
      </c>
      <c r="BE270" t="s">
        <v>62</v>
      </c>
      <c r="BF270">
        <v>1</v>
      </c>
      <c r="BG270">
        <v>2</v>
      </c>
      <c r="BH270" s="4" t="s">
        <v>1831</v>
      </c>
      <c r="BI270" s="4" t="s">
        <v>1832</v>
      </c>
      <c r="BK270" s="4" t="s">
        <v>1833</v>
      </c>
      <c r="BL270" s="4" t="s">
        <v>153</v>
      </c>
      <c r="BM270" s="4" t="s">
        <v>94</v>
      </c>
      <c r="BN270" s="4" t="s">
        <v>1834</v>
      </c>
      <c r="BO270" s="4" t="s">
        <v>62</v>
      </c>
      <c r="BP270" s="4">
        <v>8175420095</v>
      </c>
      <c r="BQ270" s="5">
        <v>687419</v>
      </c>
      <c r="BR270" s="4">
        <v>4</v>
      </c>
      <c r="BS270" s="4">
        <v>4</v>
      </c>
      <c r="BT270" s="4">
        <v>1954</v>
      </c>
      <c r="BU270" s="4" t="s">
        <v>163</v>
      </c>
      <c r="BV270" s="4" t="s">
        <v>1835</v>
      </c>
      <c r="BW270" s="4" t="s">
        <v>923</v>
      </c>
      <c r="BX270" s="4" t="s">
        <v>99</v>
      </c>
      <c r="BY270" s="4">
        <v>1311</v>
      </c>
      <c r="BZ270" s="4" t="s">
        <v>100</v>
      </c>
      <c r="CA270" s="4">
        <v>6512</v>
      </c>
      <c r="CB270" s="4" t="s">
        <v>233</v>
      </c>
      <c r="CC270" s="4">
        <v>13110101</v>
      </c>
      <c r="CD270" s="4" t="s">
        <v>102</v>
      </c>
      <c r="CE270" s="4">
        <v>65120100</v>
      </c>
      <c r="CF270" s="4" t="s">
        <v>1836</v>
      </c>
      <c r="CG270" s="4">
        <v>211120</v>
      </c>
      <c r="CH270" s="4" t="s">
        <v>104</v>
      </c>
      <c r="CI270" s="4">
        <v>531120</v>
      </c>
      <c r="CJ270" s="4" t="s">
        <v>1837</v>
      </c>
      <c r="CK270" s="19">
        <f>IF(BQ270&gt;0,BQ270,W270)</f>
        <v>687419</v>
      </c>
      <c r="CL270" s="20">
        <f>IF(BS270&gt;0,BS270,Y270)</f>
        <v>4</v>
      </c>
      <c r="CM270" s="34">
        <f>IF(CG270&gt;0,CG270,AM270)</f>
        <v>211120</v>
      </c>
      <c r="CN270" s="80">
        <f>IF($BH270="",1,COUNTIF($BH$3:$BH270,$BH270))</f>
        <v>1</v>
      </c>
      <c r="CP270" t="str">
        <f>IF($K270="Standard Match","Match",IF($K270="Name Only Match",IF($CO270="Yes","Match","Name Only Match"),"No Match"))</f>
        <v>Match</v>
      </c>
      <c r="CQ270" s="35" t="str">
        <f>IF(AND(CP270="Match",CK270&gt;0,CL270&gt;0),"Y","N")</f>
        <v>Y</v>
      </c>
      <c r="CS270" t="str">
        <f>IF($CQ270="Y",VLOOKUP($CM270,'SBA Size Standards'!$B$3:$G$57,MATCH('SBA Size Standards'!$G$3,'SBA Size Standards'!$B$3:$G$3,0),FALSE),"")</f>
        <v>Employment</v>
      </c>
      <c r="CT270" s="60" t="str">
        <f>IF(CQ270="Y",IF($CS270="Employment","N/A",VLOOKUP($CM270,'SBA Size Standards'!$B$3:$G$57,MATCH('SBA Size Standards'!$E$3,'SBA Size Standards'!$B$3:$G$3,0),FALSE)),"")</f>
        <v>N/A</v>
      </c>
      <c r="CU270" s="86">
        <f>IF($CQ270="Y",IF($CS270="Revenue","N/A",VLOOKUP($CM270,'SBA Size Standards'!$B$3:$G$57,MATCH('SBA Size Standards'!$F$3,'SBA Size Standards'!$B$3:$G$3,0),FALSE)),"")</f>
        <v>1250</v>
      </c>
      <c r="CV270" t="str">
        <f>IF($CQ270="Y",IF(OR(AND($CS270="Employment",$CL270&lt;$CU270),AND($CS270="Revenue",$CK270&lt;$CT270)),"YES","NO"),"")</f>
        <v>YES</v>
      </c>
      <c r="CW270" s="90" t="str">
        <f>IF($CQ270="Y",INDEX('SBA Size Standards'!$N$3:$N$12,MATCH($CK270,'SBA Size Standards'!$O$3:$O$12,1)),"")</f>
        <v>$500,001 - $1,000,000</v>
      </c>
      <c r="CX270" s="122" t="s">
        <v>4856</v>
      </c>
      <c r="CY270" s="122">
        <f>INDEX('NM O&amp;G Production'!$P$3:$P$537,MATCH(CX270,'NM O&amp;G Production'!$Q$3:$Q$537,0))</f>
        <v>251</v>
      </c>
      <c r="CZ270" s="122" t="str">
        <f>INDEX('NM O&amp;G Production'!$O$3:$O$537,MATCH(CY270,'NM O&amp;G Production'!$P$3:$P$537,0))</f>
        <v>Yes</v>
      </c>
      <c r="DA270" s="127">
        <f>INDEX('NM O&amp;G Production'!$K$3:$O$537,MATCH($CY270,'NM O&amp;G Production'!$P$3:$P$537,0),MATCH(DA$2,'NM O&amp;G Production'!$K$2:$O$2,0))</f>
        <v>0</v>
      </c>
      <c r="DB270" s="127">
        <f>INDEX('NM O&amp;G Production'!$K$3:$O$537,MATCH($CY270,'NM O&amp;G Production'!$P$3:$P$537,0),MATCH(DB$2,'NM O&amp;G Production'!$K$2:$O$2,0))</f>
        <v>1</v>
      </c>
      <c r="DC270" s="127">
        <f>DA270+DB270</f>
        <v>1</v>
      </c>
      <c r="DD270" s="127">
        <f>INDEX('NM O&amp;G Production'!$K$3:$O$537,MATCH($CY270,'NM O&amp;G Production'!$P$3:$P$537,0),MATCH(DD$2,'NM O&amp;G Production'!$K$2:$O$2,0))</f>
        <v>11495</v>
      </c>
      <c r="DE270" s="127">
        <f>INDEX('NM O&amp;G Production'!$K$3:$O$537,MATCH($CY270,'NM O&amp;G Production'!$P$3:$P$537,0),MATCH(DE$2,'NM O&amp;G Production'!$K$2:$O$2,0))</f>
        <v>2170</v>
      </c>
      <c r="DF270" s="258">
        <f>CK270/(DB270+DA270)</f>
        <v>687419</v>
      </c>
      <c r="DG270" s="57">
        <f>DD270*(12/18)*1.06*'Oil and Gas Prices'!$C$18</f>
        <v>19414.288666666667</v>
      </c>
      <c r="DH270" s="284">
        <f>DE270*(12/18)*'Oil and Gas Prices'!$C$4</f>
        <v>65099.999999999993</v>
      </c>
      <c r="DI270" s="284">
        <f>DG270+DH270</f>
        <v>84514.28866666666</v>
      </c>
      <c r="DJ270" s="57">
        <f>(DG270+DH270)/(DA270+DB270)</f>
        <v>84514.28866666666</v>
      </c>
      <c r="DK270" s="319"/>
    </row>
    <row r="271" spans="1:115" x14ac:dyDescent="0.25">
      <c r="A271" t="s">
        <v>2569</v>
      </c>
      <c r="B271" t="s">
        <v>2570</v>
      </c>
      <c r="D271" t="s">
        <v>209</v>
      </c>
      <c r="E271" t="s">
        <v>84</v>
      </c>
      <c r="F271">
        <v>88201</v>
      </c>
      <c r="G271" t="s">
        <v>62</v>
      </c>
      <c r="I271">
        <v>370</v>
      </c>
      <c r="J271" t="s">
        <v>63</v>
      </c>
      <c r="K271" t="s">
        <v>4133</v>
      </c>
      <c r="L271" t="s">
        <v>149</v>
      </c>
      <c r="M271">
        <v>10</v>
      </c>
      <c r="N271" t="s">
        <v>2571</v>
      </c>
      <c r="O271" t="s">
        <v>2572</v>
      </c>
      <c r="Q271" t="s">
        <v>2573</v>
      </c>
      <c r="R271" t="s">
        <v>209</v>
      </c>
      <c r="S271" t="s">
        <v>214</v>
      </c>
      <c r="T271" t="s">
        <v>2574</v>
      </c>
      <c r="U271" t="s">
        <v>62</v>
      </c>
      <c r="V271">
        <v>5756221001</v>
      </c>
      <c r="W271" s="1">
        <v>681628</v>
      </c>
      <c r="X271">
        <v>3</v>
      </c>
      <c r="Y271">
        <v>3</v>
      </c>
      <c r="Z271">
        <v>1991</v>
      </c>
      <c r="AA271" t="s">
        <v>70</v>
      </c>
      <c r="AB271" t="s">
        <v>2575</v>
      </c>
      <c r="AC271" t="s">
        <v>98</v>
      </c>
      <c r="AD271" t="s">
        <v>517</v>
      </c>
      <c r="AE271">
        <v>1381</v>
      </c>
      <c r="AF271" t="s">
        <v>518</v>
      </c>
      <c r="AI271">
        <v>13819905</v>
      </c>
      <c r="AJ271" t="s">
        <v>2576</v>
      </c>
      <c r="AM271">
        <v>213111</v>
      </c>
      <c r="AN271" t="s">
        <v>518</v>
      </c>
      <c r="AQ271" t="s">
        <v>75</v>
      </c>
      <c r="AT271" t="s">
        <v>76</v>
      </c>
      <c r="BF271">
        <v>0</v>
      </c>
      <c r="BG271">
        <v>0</v>
      </c>
      <c r="CK271" s="19">
        <f>IF(BQ271&gt;0,BQ271,W271)</f>
        <v>681628</v>
      </c>
      <c r="CL271" s="20">
        <f>IF(BS271&gt;0,BS271,Y271)</f>
        <v>3</v>
      </c>
      <c r="CM271" s="34">
        <f>IF(CG271&gt;0,CG271,AM271)</f>
        <v>213111</v>
      </c>
      <c r="CN271" s="80">
        <f>IF($BH271="",1,COUNTIF($BH$3:$BH271,$BH271))</f>
        <v>1</v>
      </c>
      <c r="CP271" t="str">
        <f>IF($K271="Standard Match","Match",IF($K271="Name Only Match",IF($CO271="Yes","Match","Name Only Match"),"No Match"))</f>
        <v>Match</v>
      </c>
      <c r="CQ271" s="35" t="str">
        <f>IF(AND(CP271="Match",CK271&gt;0,CL271&gt;0),"Y","N")</f>
        <v>Y</v>
      </c>
      <c r="CS271" t="str">
        <f>IF($CQ271="Y",VLOOKUP($CM271,'SBA Size Standards'!$B$3:$G$57,MATCH('SBA Size Standards'!$G$3,'SBA Size Standards'!$B$3:$G$3,0),FALSE),"")</f>
        <v>Employment</v>
      </c>
      <c r="CT271" s="60" t="str">
        <f>IF(CQ271="Y",IF($CS271="Employment","N/A",VLOOKUP($CM271,'SBA Size Standards'!$B$3:$G$57,MATCH('SBA Size Standards'!$E$3,'SBA Size Standards'!$B$3:$G$3,0),FALSE)),"")</f>
        <v>N/A</v>
      </c>
      <c r="CU271" s="86">
        <f>IF($CQ271="Y",IF($CS271="Revenue","N/A",VLOOKUP($CM271,'SBA Size Standards'!$B$3:$G$57,MATCH('SBA Size Standards'!$F$3,'SBA Size Standards'!$B$3:$G$3,0),FALSE)),"")</f>
        <v>1000</v>
      </c>
      <c r="CV271" t="str">
        <f>IF($CQ271="Y",IF(OR(AND($CS271="Employment",$CL271&lt;$CU271),AND($CS271="Revenue",$CK271&lt;$CT271)),"YES","NO"),"")</f>
        <v>YES</v>
      </c>
      <c r="CW271" s="90" t="str">
        <f>IF($CQ271="Y",INDEX('SBA Size Standards'!$N$3:$N$12,MATCH($CK271,'SBA Size Standards'!$O$3:$O$12,1)),"")</f>
        <v>$500,001 - $1,000,000</v>
      </c>
      <c r="CX271" s="122" t="s">
        <v>4706</v>
      </c>
      <c r="CY271" s="122">
        <f>INDEX('NM O&amp;G Production'!$P$3:$P$537,MATCH(CX271,'NM O&amp;G Production'!$Q$3:$Q$537,0))</f>
        <v>370</v>
      </c>
      <c r="CZ271" s="122" t="str">
        <f>INDEX('NM O&amp;G Production'!$O$3:$O$537,MATCH(CY271,'NM O&amp;G Production'!$P$3:$P$537,0))</f>
        <v>Yes</v>
      </c>
      <c r="DA271" s="127">
        <f>INDEX('NM O&amp;G Production'!$K$3:$O$537,MATCH($CY271,'NM O&amp;G Production'!$P$3:$P$537,0),MATCH(DA$2,'NM O&amp;G Production'!$K$2:$O$2,0))</f>
        <v>0</v>
      </c>
      <c r="DB271" s="127">
        <f>INDEX('NM O&amp;G Production'!$K$3:$O$537,MATCH($CY271,'NM O&amp;G Production'!$P$3:$P$537,0),MATCH(DB$2,'NM O&amp;G Production'!$K$2:$O$2,0))</f>
        <v>16</v>
      </c>
      <c r="DC271" s="127">
        <f>DA271+DB271</f>
        <v>16</v>
      </c>
      <c r="DD271" s="127">
        <f>INDEX('NM O&amp;G Production'!$K$3:$O$537,MATCH($CY271,'NM O&amp;G Production'!$P$3:$P$537,0),MATCH(DD$2,'NM O&amp;G Production'!$K$2:$O$2,0))</f>
        <v>98619</v>
      </c>
      <c r="DE271" s="127">
        <f>INDEX('NM O&amp;G Production'!$K$3:$O$537,MATCH($CY271,'NM O&amp;G Production'!$P$3:$P$537,0),MATCH(DE$2,'NM O&amp;G Production'!$K$2:$O$2,0))</f>
        <v>21048</v>
      </c>
      <c r="DF271" s="258">
        <f>CK271/(DB271+DA271)</f>
        <v>42601.75</v>
      </c>
      <c r="DG271" s="57">
        <f>DD271*(12/18)*1.06*'Oil and Gas Prices'!$C$18</f>
        <v>166560.91640000002</v>
      </c>
      <c r="DH271" s="284">
        <f>DE271*(12/18)*'Oil and Gas Prices'!$C$4</f>
        <v>631440</v>
      </c>
      <c r="DI271" s="284">
        <f>DG271+DH271</f>
        <v>798000.91639999999</v>
      </c>
      <c r="DJ271" s="57">
        <f>(DG271+DH271)/(DA271+DB271)</f>
        <v>49875.057274999999</v>
      </c>
      <c r="DK271" s="318"/>
    </row>
    <row r="272" spans="1:115" x14ac:dyDescent="0.25">
      <c r="A272" s="21" t="s">
        <v>2097</v>
      </c>
      <c r="B272" t="s">
        <v>2098</v>
      </c>
      <c r="D272" t="s">
        <v>206</v>
      </c>
      <c r="E272" t="s">
        <v>84</v>
      </c>
      <c r="F272">
        <v>88240</v>
      </c>
      <c r="G272" t="s">
        <v>62</v>
      </c>
      <c r="I272">
        <v>296</v>
      </c>
      <c r="J272" t="s">
        <v>63</v>
      </c>
      <c r="K272" t="s">
        <v>4134</v>
      </c>
      <c r="L272" t="s">
        <v>3627</v>
      </c>
      <c r="M272">
        <v>8</v>
      </c>
      <c r="N272" t="s">
        <v>3916</v>
      </c>
      <c r="O272" s="21" t="s">
        <v>5090</v>
      </c>
      <c r="Q272" t="s">
        <v>5091</v>
      </c>
      <c r="R272" t="s">
        <v>513</v>
      </c>
      <c r="S272" t="s">
        <v>214</v>
      </c>
      <c r="T272">
        <v>88231</v>
      </c>
      <c r="U272" t="s">
        <v>62</v>
      </c>
      <c r="V272">
        <v>5753942553</v>
      </c>
      <c r="W272" s="1">
        <v>654545</v>
      </c>
      <c r="X272">
        <v>6</v>
      </c>
      <c r="Y272">
        <v>6</v>
      </c>
      <c r="Z272">
        <v>1946</v>
      </c>
      <c r="AA272" t="s">
        <v>70</v>
      </c>
      <c r="AB272" t="s">
        <v>5092</v>
      </c>
      <c r="AC272" t="s">
        <v>98</v>
      </c>
      <c r="AD272" t="s">
        <v>99</v>
      </c>
      <c r="AE272">
        <v>1311</v>
      </c>
      <c r="AF272" t="s">
        <v>100</v>
      </c>
      <c r="AG272">
        <v>212</v>
      </c>
      <c r="AH272" t="s">
        <v>1619</v>
      </c>
      <c r="AI272">
        <v>13110101</v>
      </c>
      <c r="AJ272" t="s">
        <v>102</v>
      </c>
      <c r="AK272">
        <v>2120000</v>
      </c>
      <c r="AL272" t="s">
        <v>1620</v>
      </c>
      <c r="AM272">
        <v>211120</v>
      </c>
      <c r="AN272" t="s">
        <v>104</v>
      </c>
      <c r="AO272">
        <v>112111</v>
      </c>
      <c r="AP272" t="s">
        <v>1621</v>
      </c>
      <c r="AQ272" t="s">
        <v>75</v>
      </c>
      <c r="AT272" t="s">
        <v>76</v>
      </c>
      <c r="BF272">
        <v>0</v>
      </c>
      <c r="BG272">
        <v>0</v>
      </c>
      <c r="CK272" s="19">
        <f>IF(BQ272&gt;0,BQ272,W272)</f>
        <v>654545</v>
      </c>
      <c r="CL272" s="20">
        <f>IF(BS272&gt;0,BS272,Y272)</f>
        <v>6</v>
      </c>
      <c r="CM272" s="34">
        <f>IF(CG272&gt;0,CG272,AM272)</f>
        <v>211120</v>
      </c>
      <c r="CN272" s="80">
        <f>IF($BH272="",1,COUNTIF($BH$3:$BH272,$BH272))</f>
        <v>1</v>
      </c>
      <c r="CO272" s="33" t="s">
        <v>4386</v>
      </c>
      <c r="CP272" t="str">
        <f>IF($K272="Standard Match","Match",IF($K272="Name Only Match",IF($CO272="Yes","Match","Name Only Match"),"No Match"))</f>
        <v>Match</v>
      </c>
      <c r="CQ272" s="35" t="str">
        <f>IF(AND(CP272="Match",CK272&gt;0,CL272&gt;0),"Y","N")</f>
        <v>Y</v>
      </c>
      <c r="CR272" t="s">
        <v>5078</v>
      </c>
      <c r="CS272" t="str">
        <f>IF($CQ272="Y",VLOOKUP($CM272,'SBA Size Standards'!$B$3:$G$57,MATCH('SBA Size Standards'!$G$3,'SBA Size Standards'!$B$3:$G$3,0),FALSE),"")</f>
        <v>Employment</v>
      </c>
      <c r="CT272" s="60" t="str">
        <f>IF(CQ272="Y",IF($CS272="Employment","N/A",VLOOKUP($CM272,'SBA Size Standards'!$B$3:$G$57,MATCH('SBA Size Standards'!$E$3,'SBA Size Standards'!$B$3:$G$3,0),FALSE)),"")</f>
        <v>N/A</v>
      </c>
      <c r="CU272" s="86">
        <f>IF($CQ272="Y",IF($CS272="Revenue","N/A",VLOOKUP($CM272,'SBA Size Standards'!$B$3:$G$57,MATCH('SBA Size Standards'!$F$3,'SBA Size Standards'!$B$3:$G$3,0),FALSE)),"")</f>
        <v>1250</v>
      </c>
      <c r="CV272" t="str">
        <f>IF($CQ272="Y",IF(OR(AND($CS272="Employment",$CL272&lt;$CU272),AND($CS272="Revenue",$CK272&lt;$CT272)),"YES","NO"),"")</f>
        <v>YES</v>
      </c>
      <c r="CW272" s="90" t="str">
        <f>IF($CQ272="Y",INDEX('SBA Size Standards'!$N$3:$N$12,MATCH($CK272,'SBA Size Standards'!$O$3:$O$12,1)),"")</f>
        <v>$500,001 - $1,000,000</v>
      </c>
      <c r="CX272" s="122" t="s">
        <v>4977</v>
      </c>
      <c r="CY272" s="122">
        <f>INDEX('NM O&amp;G Production'!$P$3:$P$537,MATCH(CX272,'NM O&amp;G Production'!$Q$3:$Q$537,0))</f>
        <v>296</v>
      </c>
      <c r="CZ272" s="122" t="str">
        <f>INDEX('NM O&amp;G Production'!$O$3:$O$537,MATCH(CY272,'NM O&amp;G Production'!$P$3:$P$537,0))</f>
        <v>Yes</v>
      </c>
      <c r="DA272" s="127">
        <f>INDEX('NM O&amp;G Production'!$K$3:$O$537,MATCH($CY272,'NM O&amp;G Production'!$P$3:$P$537,0),MATCH(DA$2,'NM O&amp;G Production'!$K$2:$O$2,0))</f>
        <v>2</v>
      </c>
      <c r="DB272" s="127">
        <f>INDEX('NM O&amp;G Production'!$K$3:$O$537,MATCH($CY272,'NM O&amp;G Production'!$P$3:$P$537,0),MATCH(DB$2,'NM O&amp;G Production'!$K$2:$O$2,0))</f>
        <v>17</v>
      </c>
      <c r="DC272" s="127">
        <f>DA272+DB272</f>
        <v>19</v>
      </c>
      <c r="DD272" s="127">
        <f>INDEX('NM O&amp;G Production'!$K$3:$O$537,MATCH($CY272,'NM O&amp;G Production'!$P$3:$P$537,0),MATCH(DD$2,'NM O&amp;G Production'!$K$2:$O$2,0))</f>
        <v>111168</v>
      </c>
      <c r="DE272" s="127">
        <f>INDEX('NM O&amp;G Production'!$K$3:$O$537,MATCH($CY272,'NM O&amp;G Production'!$P$3:$P$537,0),MATCH(DE$2,'NM O&amp;G Production'!$K$2:$O$2,0))</f>
        <v>5199</v>
      </c>
      <c r="DF272" s="258">
        <f>CK272/(DB272+DA272)</f>
        <v>34449.73684210526</v>
      </c>
      <c r="DG272" s="57">
        <f>DD272*(12/18)*1.06*'Oil and Gas Prices'!$C$18</f>
        <v>187755.34080000001</v>
      </c>
      <c r="DH272" s="284">
        <f>DE272*(12/18)*'Oil and Gas Prices'!$C$4</f>
        <v>155970</v>
      </c>
      <c r="DI272" s="284">
        <f>DG272+DH272</f>
        <v>343725.34080000001</v>
      </c>
      <c r="DJ272" s="57">
        <f>(DG272+DH272)/(DA272+DB272)</f>
        <v>18090.807410526315</v>
      </c>
      <c r="DK272" s="318"/>
    </row>
    <row r="273" spans="1:115" x14ac:dyDescent="0.25">
      <c r="A273" t="s">
        <v>2165</v>
      </c>
      <c r="B273" t="s">
        <v>2166</v>
      </c>
      <c r="D273" t="s">
        <v>153</v>
      </c>
      <c r="E273" t="s">
        <v>80</v>
      </c>
      <c r="F273">
        <v>79702</v>
      </c>
      <c r="G273" t="s">
        <v>62</v>
      </c>
      <c r="I273">
        <v>306</v>
      </c>
      <c r="J273" t="s">
        <v>63</v>
      </c>
      <c r="K273" t="s">
        <v>4133</v>
      </c>
      <c r="L273" t="s">
        <v>279</v>
      </c>
      <c r="M273">
        <v>8</v>
      </c>
      <c r="N273" t="s">
        <v>2167</v>
      </c>
      <c r="O273" t="s">
        <v>2168</v>
      </c>
      <c r="Q273" t="s">
        <v>2169</v>
      </c>
      <c r="R273" t="s">
        <v>153</v>
      </c>
      <c r="S273" t="s">
        <v>94</v>
      </c>
      <c r="T273" t="s">
        <v>2170</v>
      </c>
      <c r="U273" t="s">
        <v>62</v>
      </c>
      <c r="V273">
        <v>4326827714</v>
      </c>
      <c r="W273" s="1">
        <v>638457</v>
      </c>
      <c r="X273">
        <v>6</v>
      </c>
      <c r="Y273">
        <v>6</v>
      </c>
      <c r="Z273">
        <v>1999</v>
      </c>
      <c r="AA273" t="s">
        <v>70</v>
      </c>
      <c r="AB273" t="s">
        <v>2171</v>
      </c>
      <c r="AC273" t="s">
        <v>98</v>
      </c>
      <c r="AD273" t="s">
        <v>99</v>
      </c>
      <c r="AE273">
        <v>1311</v>
      </c>
      <c r="AF273" t="s">
        <v>100</v>
      </c>
      <c r="AI273">
        <v>13110000</v>
      </c>
      <c r="AJ273" t="s">
        <v>276</v>
      </c>
      <c r="AM273">
        <v>211120</v>
      </c>
      <c r="AN273" t="s">
        <v>104</v>
      </c>
      <c r="AQ273" t="s">
        <v>75</v>
      </c>
      <c r="AT273" t="s">
        <v>76</v>
      </c>
      <c r="BF273">
        <v>0</v>
      </c>
      <c r="BG273">
        <v>0</v>
      </c>
      <c r="CK273" s="19">
        <f>IF(BQ273&gt;0,BQ273,W273)</f>
        <v>638457</v>
      </c>
      <c r="CL273" s="20">
        <f>IF(BS273&gt;0,BS273,Y273)</f>
        <v>6</v>
      </c>
      <c r="CM273" s="34">
        <f>IF(CG273&gt;0,CG273,AM273)</f>
        <v>211120</v>
      </c>
      <c r="CN273" s="80">
        <f>IF($BH273="",1,COUNTIF($BH$3:$BH273,$BH273))</f>
        <v>1</v>
      </c>
      <c r="CP273" t="str">
        <f>IF($K273="Standard Match","Match",IF($K273="Name Only Match",IF($CO273="Yes","Match","Name Only Match"),"No Match"))</f>
        <v>Match</v>
      </c>
      <c r="CQ273" s="35" t="str">
        <f>IF(AND(CP273="Match",CK273&gt;0,CL273&gt;0),"Y","N")</f>
        <v>Y</v>
      </c>
      <c r="CS273" t="str">
        <f>IF($CQ273="Y",VLOOKUP($CM273,'SBA Size Standards'!$B$3:$G$57,MATCH('SBA Size Standards'!$G$3,'SBA Size Standards'!$B$3:$G$3,0),FALSE),"")</f>
        <v>Employment</v>
      </c>
      <c r="CT273" s="60" t="str">
        <f>IF(CQ273="Y",IF($CS273="Employment","N/A",VLOOKUP($CM273,'SBA Size Standards'!$B$3:$G$57,MATCH('SBA Size Standards'!$E$3,'SBA Size Standards'!$B$3:$G$3,0),FALSE)),"")</f>
        <v>N/A</v>
      </c>
      <c r="CU273" s="86">
        <f>IF($CQ273="Y",IF($CS273="Revenue","N/A",VLOOKUP($CM273,'SBA Size Standards'!$B$3:$G$57,MATCH('SBA Size Standards'!$F$3,'SBA Size Standards'!$B$3:$G$3,0),FALSE)),"")</f>
        <v>1250</v>
      </c>
      <c r="CV273" t="str">
        <f>IF($CQ273="Y",IF(OR(AND($CS273="Employment",$CL273&lt;$CU273),AND($CS273="Revenue",$CK273&lt;$CT273)),"YES","NO"),"")</f>
        <v>YES</v>
      </c>
      <c r="CW273" s="90" t="str">
        <f>IF($CQ273="Y",INDEX('SBA Size Standards'!$N$3:$N$12,MATCH($CK273,'SBA Size Standards'!$O$3:$O$12,1)),"")</f>
        <v>$500,001 - $1,000,000</v>
      </c>
      <c r="CX273" s="122" t="s">
        <v>4868</v>
      </c>
      <c r="CY273" s="122">
        <f>INDEX('NM O&amp;G Production'!$P$3:$P$537,MATCH(CX273,'NM O&amp;G Production'!$Q$3:$Q$537,0))</f>
        <v>306</v>
      </c>
      <c r="CZ273" s="122" t="str">
        <f>INDEX('NM O&amp;G Production'!$O$3:$O$537,MATCH(CY273,'NM O&amp;G Production'!$P$3:$P$537,0))</f>
        <v>Yes</v>
      </c>
      <c r="DA273" s="127">
        <f>INDEX('NM O&amp;G Production'!$K$3:$O$537,MATCH($CY273,'NM O&amp;G Production'!$P$3:$P$537,0),MATCH(DA$2,'NM O&amp;G Production'!$K$2:$O$2,0))</f>
        <v>16</v>
      </c>
      <c r="DB273" s="127">
        <f>INDEX('NM O&amp;G Production'!$K$3:$O$537,MATCH($CY273,'NM O&amp;G Production'!$P$3:$P$537,0),MATCH(DB$2,'NM O&amp;G Production'!$K$2:$O$2,0))</f>
        <v>0</v>
      </c>
      <c r="DC273" s="127">
        <f>DA273+DB273</f>
        <v>16</v>
      </c>
      <c r="DD273" s="127">
        <f>INDEX('NM O&amp;G Production'!$K$3:$O$537,MATCH($CY273,'NM O&amp;G Production'!$P$3:$P$537,0),MATCH(DD$2,'NM O&amp;G Production'!$K$2:$O$2,0))</f>
        <v>48379</v>
      </c>
      <c r="DE273" s="127">
        <f>INDEX('NM O&amp;G Production'!$K$3:$O$537,MATCH($CY273,'NM O&amp;G Production'!$P$3:$P$537,0),MATCH(DE$2,'NM O&amp;G Production'!$K$2:$O$2,0))</f>
        <v>2277</v>
      </c>
      <c r="DF273" s="258">
        <f>CK273/(DB273+DA273)</f>
        <v>39903.5625</v>
      </c>
      <c r="DG273" s="57">
        <f>DD273*(12/18)*1.06*'Oil and Gas Prices'!$C$18</f>
        <v>81708.905733333333</v>
      </c>
      <c r="DH273" s="284">
        <f>DE273*(12/18)*'Oil and Gas Prices'!$C$4</f>
        <v>68310</v>
      </c>
      <c r="DI273" s="284">
        <f>DG273+DH273</f>
        <v>150018.90573333332</v>
      </c>
      <c r="DJ273" s="57">
        <f>(DG273+DH273)/(DA273+DB273)</f>
        <v>9376.1816083333324</v>
      </c>
      <c r="DK273" s="318"/>
    </row>
    <row r="274" spans="1:115" x14ac:dyDescent="0.25">
      <c r="A274" t="s">
        <v>650</v>
      </c>
      <c r="B274" t="s">
        <v>651</v>
      </c>
      <c r="D274" t="s">
        <v>112</v>
      </c>
      <c r="E274" t="s">
        <v>80</v>
      </c>
      <c r="G274" t="s">
        <v>62</v>
      </c>
      <c r="I274">
        <v>80</v>
      </c>
      <c r="J274" t="s">
        <v>63</v>
      </c>
      <c r="K274" t="s">
        <v>4133</v>
      </c>
      <c r="L274" t="s">
        <v>64</v>
      </c>
      <c r="M274">
        <v>10</v>
      </c>
      <c r="N274" t="s">
        <v>652</v>
      </c>
      <c r="O274" t="s">
        <v>653</v>
      </c>
      <c r="Q274" t="s">
        <v>654</v>
      </c>
      <c r="R274" t="s">
        <v>112</v>
      </c>
      <c r="S274" t="s">
        <v>94</v>
      </c>
      <c r="T274">
        <v>77010</v>
      </c>
      <c r="U274" t="s">
        <v>62</v>
      </c>
      <c r="V274">
        <v>5755468802</v>
      </c>
      <c r="W274" s="1">
        <v>631938</v>
      </c>
      <c r="X274">
        <v>4</v>
      </c>
      <c r="Y274">
        <v>4</v>
      </c>
      <c r="Z274">
        <v>2005</v>
      </c>
      <c r="AA274" t="s">
        <v>70</v>
      </c>
      <c r="AB274" t="s">
        <v>655</v>
      </c>
      <c r="AC274" t="s">
        <v>98</v>
      </c>
      <c r="AD274" t="s">
        <v>656</v>
      </c>
      <c r="AE274">
        <v>8748</v>
      </c>
      <c r="AF274" t="s">
        <v>657</v>
      </c>
      <c r="AI274">
        <v>87480000</v>
      </c>
      <c r="AJ274" t="s">
        <v>658</v>
      </c>
      <c r="AM274">
        <v>541618</v>
      </c>
      <c r="AN274" t="s">
        <v>659</v>
      </c>
      <c r="AQ274" t="s">
        <v>75</v>
      </c>
      <c r="AT274" t="s">
        <v>76</v>
      </c>
      <c r="BF274">
        <v>0</v>
      </c>
      <c r="BG274">
        <v>0</v>
      </c>
      <c r="CK274" s="19">
        <f>IF(BQ274&gt;0,BQ274,W274)</f>
        <v>631938</v>
      </c>
      <c r="CL274" s="20">
        <f>IF(BS274&gt;0,BS274,Y274)</f>
        <v>4</v>
      </c>
      <c r="CM274" s="34">
        <f>IF(CG274&gt;0,CG274,AM274)</f>
        <v>541618</v>
      </c>
      <c r="CN274" s="80">
        <f>IF($BH274="",1,COUNTIF($BH$3:$BH274,$BH274))</f>
        <v>1</v>
      </c>
      <c r="CP274" t="str">
        <f>IF($K274="Standard Match","Match",IF($K274="Name Only Match",IF($CO274="Yes","Match","Name Only Match"),"No Match"))</f>
        <v>Match</v>
      </c>
      <c r="CQ274" s="35" t="str">
        <f>IF(AND(CP274="Match",CK274&gt;0,CL274&gt;0),"Y","N")</f>
        <v>Y</v>
      </c>
      <c r="CS274" t="str">
        <f>IF($CQ274="Y",VLOOKUP($CM274,'SBA Size Standards'!$B$3:$G$57,MATCH('SBA Size Standards'!$G$3,'SBA Size Standards'!$B$3:$G$3,0),FALSE),"")</f>
        <v>Revenue</v>
      </c>
      <c r="CT274" s="60">
        <f>IF(CQ274="Y",IF($CS274="Employment","N/A",VLOOKUP($CM274,'SBA Size Standards'!$B$3:$G$57,MATCH('SBA Size Standards'!$E$3,'SBA Size Standards'!$B$3:$G$3,0),FALSE)),"")</f>
        <v>16500000</v>
      </c>
      <c r="CU274" s="86" t="str">
        <f>IF($CQ274="Y",IF($CS274="Revenue","N/A",VLOOKUP($CM274,'SBA Size Standards'!$B$3:$G$57,MATCH('SBA Size Standards'!$F$3,'SBA Size Standards'!$B$3:$G$3,0),FALSE)),"")</f>
        <v>N/A</v>
      </c>
      <c r="CV274" t="str">
        <f>IF($CQ274="Y",IF(OR(AND($CS274="Employment",$CL274&lt;$CU274),AND($CS274="Revenue",$CK274&lt;$CT274)),"YES","NO"),"")</f>
        <v>YES</v>
      </c>
      <c r="CW274" s="90" t="str">
        <f>IF($CQ274="Y",INDEX('SBA Size Standards'!$N$3:$N$12,MATCH($CK274,'SBA Size Standards'!$O$3:$O$12,1)),"")</f>
        <v>$500,001 - $1,000,000</v>
      </c>
      <c r="CX274" s="122" t="s">
        <v>4568</v>
      </c>
      <c r="CY274" s="122">
        <f>INDEX('NM O&amp;G Production'!$P$3:$P$537,MATCH(CX274,'NM O&amp;G Production'!$Q$3:$Q$537,0))</f>
        <v>80</v>
      </c>
      <c r="CZ274" s="122" t="str">
        <f>INDEX('NM O&amp;G Production'!$O$3:$O$537,MATCH(CY274,'NM O&amp;G Production'!$P$3:$P$537,0))</f>
        <v>Yes</v>
      </c>
      <c r="DA274" s="127">
        <f>INDEX('NM O&amp;G Production'!$K$3:$O$537,MATCH($CY274,'NM O&amp;G Production'!$P$3:$P$537,0),MATCH(DA$2,'NM O&amp;G Production'!$K$2:$O$2,0))</f>
        <v>1</v>
      </c>
      <c r="DB274" s="127">
        <f>INDEX('NM O&amp;G Production'!$K$3:$O$537,MATCH($CY274,'NM O&amp;G Production'!$P$3:$P$537,0),MATCH(DB$2,'NM O&amp;G Production'!$K$2:$O$2,0))</f>
        <v>7</v>
      </c>
      <c r="DC274" s="127">
        <f>DA274+DB274</f>
        <v>8</v>
      </c>
      <c r="DD274" s="127">
        <f>INDEX('NM O&amp;G Production'!$K$3:$O$537,MATCH($CY274,'NM O&amp;G Production'!$P$3:$P$537,0),MATCH(DD$2,'NM O&amp;G Production'!$K$2:$O$2,0))</f>
        <v>48752</v>
      </c>
      <c r="DE274" s="127">
        <f>INDEX('NM O&amp;G Production'!$K$3:$O$537,MATCH($CY274,'NM O&amp;G Production'!$P$3:$P$537,0),MATCH(DE$2,'NM O&amp;G Production'!$K$2:$O$2,0))</f>
        <v>3599</v>
      </c>
      <c r="DF274" s="258">
        <f>CK274/(DB274+DA274)</f>
        <v>78992.25</v>
      </c>
      <c r="DG274" s="57">
        <f>DD274*(12/18)*1.06*'Oil and Gas Prices'!$C$18</f>
        <v>82338.877866666662</v>
      </c>
      <c r="DH274" s="284">
        <f>DE274*(12/18)*'Oil and Gas Prices'!$C$4</f>
        <v>107969.99999999999</v>
      </c>
      <c r="DI274" s="284">
        <f>DG274+DH274</f>
        <v>190308.87786666665</v>
      </c>
      <c r="DJ274" s="57">
        <f>(DG274+DH274)/(DA274+DB274)</f>
        <v>23788.609733333331</v>
      </c>
      <c r="DK274" s="319"/>
    </row>
    <row r="275" spans="1:115" x14ac:dyDescent="0.25">
      <c r="A275" t="s">
        <v>2952</v>
      </c>
      <c r="B275" t="s">
        <v>2953</v>
      </c>
      <c r="D275" t="s">
        <v>112</v>
      </c>
      <c r="E275" t="s">
        <v>80</v>
      </c>
      <c r="F275">
        <v>77002</v>
      </c>
      <c r="G275" t="s">
        <v>62</v>
      </c>
      <c r="I275">
        <v>430</v>
      </c>
      <c r="J275" t="s">
        <v>63</v>
      </c>
      <c r="K275" t="s">
        <v>4133</v>
      </c>
      <c r="L275" t="s">
        <v>64</v>
      </c>
      <c r="M275">
        <v>10</v>
      </c>
      <c r="N275" t="s">
        <v>2954</v>
      </c>
      <c r="O275" t="s">
        <v>2952</v>
      </c>
      <c r="Q275" t="s">
        <v>2955</v>
      </c>
      <c r="R275" t="s">
        <v>112</v>
      </c>
      <c r="S275" t="s">
        <v>94</v>
      </c>
      <c r="T275" t="s">
        <v>2956</v>
      </c>
      <c r="U275" t="s">
        <v>62</v>
      </c>
      <c r="W275" s="1">
        <v>609051</v>
      </c>
      <c r="X275">
        <v>4</v>
      </c>
      <c r="Y275">
        <v>4</v>
      </c>
      <c r="Z275">
        <v>2018</v>
      </c>
      <c r="AA275" t="s">
        <v>70</v>
      </c>
      <c r="AB275" t="s">
        <v>2957</v>
      </c>
      <c r="AC275" t="s">
        <v>677</v>
      </c>
      <c r="AD275" t="s">
        <v>99</v>
      </c>
      <c r="AE275">
        <v>1311</v>
      </c>
      <c r="AF275" t="s">
        <v>100</v>
      </c>
      <c r="AI275">
        <v>13110000</v>
      </c>
      <c r="AJ275" t="s">
        <v>276</v>
      </c>
      <c r="AM275">
        <v>211120</v>
      </c>
      <c r="AN275" t="s">
        <v>104</v>
      </c>
      <c r="AQ275" t="s">
        <v>75</v>
      </c>
      <c r="AT275" t="s">
        <v>76</v>
      </c>
      <c r="BF275">
        <v>0</v>
      </c>
      <c r="BG275">
        <v>0</v>
      </c>
      <c r="CK275" s="19">
        <f>IF(BQ275&gt;0,BQ275,W275)</f>
        <v>609051</v>
      </c>
      <c r="CL275" s="20">
        <f>IF(BS275&gt;0,BS275,Y275)</f>
        <v>4</v>
      </c>
      <c r="CM275" s="34">
        <f>IF(CG275&gt;0,CG275,AM275)</f>
        <v>211120</v>
      </c>
      <c r="CN275" s="80">
        <f>IF($BH275="",1,COUNTIF($BH$3:$BH275,$BH275))</f>
        <v>1</v>
      </c>
      <c r="CP275" t="str">
        <f>IF($K275="Standard Match","Match",IF($K275="Name Only Match",IF($CO275="Yes","Match","Name Only Match"),"No Match"))</f>
        <v>Match</v>
      </c>
      <c r="CQ275" s="35" t="str">
        <f>IF(AND(CP275="Match",CK275&gt;0,CL275&gt;0),"Y","N")</f>
        <v>Y</v>
      </c>
      <c r="CS275" t="str">
        <f>IF($CQ275="Y",VLOOKUP($CM275,'SBA Size Standards'!$B$3:$G$57,MATCH('SBA Size Standards'!$G$3,'SBA Size Standards'!$B$3:$G$3,0),FALSE),"")</f>
        <v>Employment</v>
      </c>
      <c r="CT275" s="60" t="str">
        <f>IF(CQ275="Y",IF($CS275="Employment","N/A",VLOOKUP($CM275,'SBA Size Standards'!$B$3:$G$57,MATCH('SBA Size Standards'!$E$3,'SBA Size Standards'!$B$3:$G$3,0),FALSE)),"")</f>
        <v>N/A</v>
      </c>
      <c r="CU275" s="86">
        <f>IF($CQ275="Y",IF($CS275="Revenue","N/A",VLOOKUP($CM275,'SBA Size Standards'!$B$3:$G$57,MATCH('SBA Size Standards'!$F$3,'SBA Size Standards'!$B$3:$G$3,0),FALSE)),"")</f>
        <v>1250</v>
      </c>
      <c r="CV275" t="str">
        <f>IF($CQ275="Y",IF(OR(AND($CS275="Employment",$CL275&lt;$CU275),AND($CS275="Revenue",$CK275&lt;$CT275)),"YES","NO"),"")</f>
        <v>YES</v>
      </c>
      <c r="CW275" s="90" t="str">
        <f>IF($CQ275="Y",INDEX('SBA Size Standards'!$N$3:$N$12,MATCH($CK275,'SBA Size Standards'!$O$3:$O$12,1)),"")</f>
        <v>$500,001 - $1,000,000</v>
      </c>
      <c r="CX275" s="122" t="s">
        <v>4740</v>
      </c>
      <c r="CY275" s="122">
        <f>INDEX('NM O&amp;G Production'!$P$3:$P$537,MATCH(CX275,'NM O&amp;G Production'!$Q$3:$Q$537,0))</f>
        <v>430</v>
      </c>
      <c r="CZ275" s="122" t="str">
        <f>INDEX('NM O&amp;G Production'!$O$3:$O$537,MATCH(CY275,'NM O&amp;G Production'!$P$3:$P$537,0))</f>
        <v>No</v>
      </c>
      <c r="DA275" s="127">
        <f>INDEX('NM O&amp;G Production'!$K$3:$O$537,MATCH($CY275,'NM O&amp;G Production'!$P$3:$P$537,0),MATCH(DA$2,'NM O&amp;G Production'!$K$2:$O$2,0))</f>
        <v>0</v>
      </c>
      <c r="DB275" s="127">
        <f>INDEX('NM O&amp;G Production'!$K$3:$O$537,MATCH($CY275,'NM O&amp;G Production'!$P$3:$P$537,0),MATCH(DB$2,'NM O&amp;G Production'!$K$2:$O$2,0))</f>
        <v>0</v>
      </c>
      <c r="DC275" s="127"/>
      <c r="DD275" s="127">
        <f>INDEX('NM O&amp;G Production'!$K$3:$O$537,MATCH($CY275,'NM O&amp;G Production'!$P$3:$P$537,0),MATCH(DD$2,'NM O&amp;G Production'!$K$2:$O$2,0))</f>
        <v>0</v>
      </c>
      <c r="DE275" s="127">
        <f>INDEX('NM O&amp;G Production'!$K$3:$O$537,MATCH($CY275,'NM O&amp;G Production'!$P$3:$P$537,0),MATCH(DE$2,'NM O&amp;G Production'!$K$2:$O$2,0))</f>
        <v>0</v>
      </c>
      <c r="DF275" s="258" t="e">
        <f>CK275/(DB275+DA275)</f>
        <v>#DIV/0!</v>
      </c>
      <c r="DG275" s="57">
        <f>DD275*(12/18)*1.06*'Oil and Gas Prices'!$C$18</f>
        <v>0</v>
      </c>
      <c r="DH275" s="284">
        <f>DE275*(12/18)*'Oil and Gas Prices'!$C$4</f>
        <v>0</v>
      </c>
      <c r="DI275" s="284"/>
      <c r="DJ275" s="57" t="e">
        <f>(DG275+DH275)/(DA275+DB275)</f>
        <v>#DIV/0!</v>
      </c>
      <c r="DK275" s="18" t="e">
        <f>CK275/DI275</f>
        <v>#DIV/0!</v>
      </c>
    </row>
    <row r="276" spans="1:115" x14ac:dyDescent="0.25">
      <c r="A276" t="s">
        <v>1786</v>
      </c>
      <c r="B276" t="s">
        <v>1787</v>
      </c>
      <c r="D276" t="s">
        <v>153</v>
      </c>
      <c r="E276" t="s">
        <v>80</v>
      </c>
      <c r="F276">
        <v>79702</v>
      </c>
      <c r="G276" t="s">
        <v>62</v>
      </c>
      <c r="I276">
        <v>246</v>
      </c>
      <c r="J276" t="s">
        <v>89</v>
      </c>
      <c r="K276" t="s">
        <v>4133</v>
      </c>
      <c r="L276" t="s">
        <v>149</v>
      </c>
      <c r="M276">
        <v>10</v>
      </c>
      <c r="N276" t="s">
        <v>1788</v>
      </c>
      <c r="O276" t="s">
        <v>1789</v>
      </c>
      <c r="Q276" t="s">
        <v>1790</v>
      </c>
      <c r="R276" t="s">
        <v>153</v>
      </c>
      <c r="S276" t="s">
        <v>94</v>
      </c>
      <c r="T276" t="s">
        <v>1791</v>
      </c>
      <c r="U276" t="s">
        <v>62</v>
      </c>
      <c r="V276">
        <v>4326821178</v>
      </c>
      <c r="W276" s="1">
        <v>607808</v>
      </c>
      <c r="X276">
        <v>4</v>
      </c>
      <c r="Y276">
        <v>4</v>
      </c>
      <c r="Z276">
        <v>1985</v>
      </c>
      <c r="AA276" t="s">
        <v>70</v>
      </c>
      <c r="AB276" t="s">
        <v>1792</v>
      </c>
      <c r="AC276" t="s">
        <v>98</v>
      </c>
      <c r="AD276" t="s">
        <v>119</v>
      </c>
      <c r="AE276">
        <v>1382</v>
      </c>
      <c r="AF276" t="s">
        <v>120</v>
      </c>
      <c r="AG276">
        <v>1311</v>
      </c>
      <c r="AH276" t="s">
        <v>100</v>
      </c>
      <c r="AI276">
        <v>13820000</v>
      </c>
      <c r="AJ276" t="s">
        <v>119</v>
      </c>
      <c r="AK276">
        <v>13110101</v>
      </c>
      <c r="AL276" t="s">
        <v>102</v>
      </c>
      <c r="AM276">
        <v>213112</v>
      </c>
      <c r="AN276" t="s">
        <v>74</v>
      </c>
      <c r="AO276">
        <v>211120</v>
      </c>
      <c r="AP276" t="s">
        <v>104</v>
      </c>
      <c r="AQ276" t="s">
        <v>75</v>
      </c>
      <c r="AT276" t="s">
        <v>76</v>
      </c>
      <c r="BF276">
        <v>0</v>
      </c>
      <c r="BG276">
        <v>0</v>
      </c>
      <c r="CK276" s="19">
        <f>IF(BQ276&gt;0,BQ276,W276)</f>
        <v>607808</v>
      </c>
      <c r="CL276" s="20">
        <f>IF(BS276&gt;0,BS276,Y276)</f>
        <v>4</v>
      </c>
      <c r="CM276" s="34">
        <f>IF(CG276&gt;0,CG276,AM276)</f>
        <v>213112</v>
      </c>
      <c r="CN276" s="80">
        <f>IF($BH276="",1,COUNTIF($BH$3:$BH276,$BH276))</f>
        <v>1</v>
      </c>
      <c r="CP276" t="str">
        <f>IF($K276="Standard Match","Match",IF($K276="Name Only Match",IF($CO276="Yes","Match","Name Only Match"),"No Match"))</f>
        <v>Match</v>
      </c>
      <c r="CQ276" s="35" t="str">
        <f>IF(AND(CP276="Match",CK276&gt;0,CL276&gt;0),"Y","N")</f>
        <v>Y</v>
      </c>
      <c r="CS276" t="str">
        <f>IF($CQ276="Y",VLOOKUP($CM276,'SBA Size Standards'!$B$3:$G$57,MATCH('SBA Size Standards'!$G$3,'SBA Size Standards'!$B$3:$G$3,0),FALSE),"")</f>
        <v>Revenue</v>
      </c>
      <c r="CT276" s="60">
        <f>IF(CQ276="Y",IF($CS276="Employment","N/A",VLOOKUP($CM276,'SBA Size Standards'!$B$3:$G$57,MATCH('SBA Size Standards'!$E$3,'SBA Size Standards'!$B$3:$G$3,0),FALSE)),"")</f>
        <v>41500000</v>
      </c>
      <c r="CU276" s="86" t="str">
        <f>IF($CQ276="Y",IF($CS276="Revenue","N/A",VLOOKUP($CM276,'SBA Size Standards'!$B$3:$G$57,MATCH('SBA Size Standards'!$F$3,'SBA Size Standards'!$B$3:$G$3,0),FALSE)),"")</f>
        <v>N/A</v>
      </c>
      <c r="CV276" t="str">
        <f>IF($CQ276="Y",IF(OR(AND($CS276="Employment",$CL276&lt;$CU276),AND($CS276="Revenue",$CK276&lt;$CT276)),"YES","NO"),"")</f>
        <v>YES</v>
      </c>
      <c r="CW276" s="90" t="str">
        <f>IF($CQ276="Y",INDEX('SBA Size Standards'!$N$3:$N$12,MATCH($CK276,'SBA Size Standards'!$O$3:$O$12,1)),"")</f>
        <v>$500,001 - $1,000,000</v>
      </c>
      <c r="CX276" s="122" t="s">
        <v>4655</v>
      </c>
      <c r="CY276" s="122">
        <f>INDEX('NM O&amp;G Production'!$P$3:$P$537,MATCH(CX276,'NM O&amp;G Production'!$Q$3:$Q$537,0))</f>
        <v>246</v>
      </c>
      <c r="CZ276" s="122" t="str">
        <f>INDEX('NM O&amp;G Production'!$O$3:$O$537,MATCH(CY276,'NM O&amp;G Production'!$P$3:$P$537,0))</f>
        <v>Yes</v>
      </c>
      <c r="DA276" s="127">
        <f>INDEX('NM O&amp;G Production'!$K$3:$O$537,MATCH($CY276,'NM O&amp;G Production'!$P$3:$P$537,0),MATCH(DA$2,'NM O&amp;G Production'!$K$2:$O$2,0))</f>
        <v>0</v>
      </c>
      <c r="DB276" s="127">
        <f>INDEX('NM O&amp;G Production'!$K$3:$O$537,MATCH($CY276,'NM O&amp;G Production'!$P$3:$P$537,0),MATCH(DB$2,'NM O&amp;G Production'!$K$2:$O$2,0))</f>
        <v>13</v>
      </c>
      <c r="DC276" s="127">
        <f>DA276+DB276</f>
        <v>13</v>
      </c>
      <c r="DD276" s="127">
        <f>INDEX('NM O&amp;G Production'!$K$3:$O$537,MATCH($CY276,'NM O&amp;G Production'!$P$3:$P$537,0),MATCH(DD$2,'NM O&amp;G Production'!$K$2:$O$2,0))</f>
        <v>22361</v>
      </c>
      <c r="DE276" s="127">
        <f>INDEX('NM O&amp;G Production'!$K$3:$O$537,MATCH($CY276,'NM O&amp;G Production'!$P$3:$P$537,0),MATCH(DE$2,'NM O&amp;G Production'!$K$2:$O$2,0))</f>
        <v>6950</v>
      </c>
      <c r="DF276" s="258">
        <f>CK276/(DB276+DA276)</f>
        <v>46754.461538461539</v>
      </c>
      <c r="DG276" s="57">
        <f>DD276*(12/18)*1.06*'Oil and Gas Prices'!$C$18</f>
        <v>37766.238266666667</v>
      </c>
      <c r="DH276" s="284">
        <f>DE276*(12/18)*'Oil and Gas Prices'!$C$4</f>
        <v>208500</v>
      </c>
      <c r="DI276" s="284">
        <f>DG276+DH276</f>
        <v>246266.23826666665</v>
      </c>
      <c r="DJ276" s="57">
        <f>(DG276+DH276)/(DA276+DB276)</f>
        <v>18943.55678974359</v>
      </c>
      <c r="DK276" s="318"/>
    </row>
    <row r="277" spans="1:115" x14ac:dyDescent="0.25">
      <c r="A277" t="s">
        <v>1960</v>
      </c>
      <c r="B277" t="s">
        <v>1961</v>
      </c>
      <c r="D277" t="s">
        <v>206</v>
      </c>
      <c r="E277" t="s">
        <v>84</v>
      </c>
      <c r="F277" t="s">
        <v>1962</v>
      </c>
      <c r="G277" t="s">
        <v>62</v>
      </c>
      <c r="I277">
        <v>274</v>
      </c>
      <c r="J277" t="s">
        <v>63</v>
      </c>
      <c r="K277" t="s">
        <v>4133</v>
      </c>
      <c r="L277" t="s">
        <v>149</v>
      </c>
      <c r="M277">
        <v>10</v>
      </c>
      <c r="N277" t="s">
        <v>1963</v>
      </c>
      <c r="O277" t="s">
        <v>1964</v>
      </c>
      <c r="P277" t="s">
        <v>1965</v>
      </c>
      <c r="Q277" t="s">
        <v>1966</v>
      </c>
      <c r="R277" t="s">
        <v>206</v>
      </c>
      <c r="S277" t="s">
        <v>214</v>
      </c>
      <c r="T277" t="s">
        <v>1967</v>
      </c>
      <c r="U277" t="s">
        <v>62</v>
      </c>
      <c r="V277">
        <v>5753926950</v>
      </c>
      <c r="W277" s="1">
        <v>606335</v>
      </c>
      <c r="X277">
        <v>5</v>
      </c>
      <c r="Y277">
        <v>5</v>
      </c>
      <c r="Z277">
        <v>1981</v>
      </c>
      <c r="AA277" t="s">
        <v>70</v>
      </c>
      <c r="AB277" t="s">
        <v>1968</v>
      </c>
      <c r="AC277" t="s">
        <v>98</v>
      </c>
      <c r="AD277" t="s">
        <v>99</v>
      </c>
      <c r="AE277">
        <v>1311</v>
      </c>
      <c r="AF277" t="s">
        <v>100</v>
      </c>
      <c r="AG277">
        <v>8711</v>
      </c>
      <c r="AH277" t="s">
        <v>507</v>
      </c>
      <c r="AI277">
        <v>13110101</v>
      </c>
      <c r="AJ277" t="s">
        <v>102</v>
      </c>
      <c r="AK277">
        <v>87110303</v>
      </c>
      <c r="AL277" t="s">
        <v>1969</v>
      </c>
      <c r="AM277">
        <v>211120</v>
      </c>
      <c r="AN277" t="s">
        <v>104</v>
      </c>
      <c r="AO277">
        <v>541330</v>
      </c>
      <c r="AP277" t="s">
        <v>507</v>
      </c>
      <c r="AQ277" t="s">
        <v>75</v>
      </c>
      <c r="AT277" t="s">
        <v>76</v>
      </c>
      <c r="BF277">
        <v>0</v>
      </c>
      <c r="BG277">
        <v>0</v>
      </c>
      <c r="CK277" s="19">
        <f>IF(BQ277&gt;0,BQ277,W277)</f>
        <v>606335</v>
      </c>
      <c r="CL277" s="20">
        <f>IF(BS277&gt;0,BS277,Y277)</f>
        <v>5</v>
      </c>
      <c r="CM277" s="34">
        <f>IF(CG277&gt;0,CG277,AM277)</f>
        <v>211120</v>
      </c>
      <c r="CN277" s="80">
        <f>IF($BH277="",1,COUNTIF($BH$3:$BH277,$BH277))</f>
        <v>1</v>
      </c>
      <c r="CP277" t="str">
        <f>IF($K277="Standard Match","Match",IF($K277="Name Only Match",IF($CO277="Yes","Match","Name Only Match"),"No Match"))</f>
        <v>Match</v>
      </c>
      <c r="CQ277" s="35" t="str">
        <f>IF(AND(CP277="Match",CK277&gt;0,CL277&gt;0),"Y","N")</f>
        <v>Y</v>
      </c>
      <c r="CS277" t="str">
        <f>IF($CQ277="Y",VLOOKUP($CM277,'SBA Size Standards'!$B$3:$G$57,MATCH('SBA Size Standards'!$G$3,'SBA Size Standards'!$B$3:$G$3,0),FALSE),"")</f>
        <v>Employment</v>
      </c>
      <c r="CT277" s="60" t="str">
        <f>IF(CQ277="Y",IF($CS277="Employment","N/A",VLOOKUP($CM277,'SBA Size Standards'!$B$3:$G$57,MATCH('SBA Size Standards'!$E$3,'SBA Size Standards'!$B$3:$G$3,0),FALSE)),"")</f>
        <v>N/A</v>
      </c>
      <c r="CU277" s="86">
        <f>IF($CQ277="Y",IF($CS277="Revenue","N/A",VLOOKUP($CM277,'SBA Size Standards'!$B$3:$G$57,MATCH('SBA Size Standards'!$F$3,'SBA Size Standards'!$B$3:$G$3,0),FALSE)),"")</f>
        <v>1250</v>
      </c>
      <c r="CV277" t="str">
        <f>IF($CQ277="Y",IF(OR(AND($CS277="Employment",$CL277&lt;$CU277),AND($CS277="Revenue",$CK277&lt;$CT277)),"YES","NO"),"")</f>
        <v>YES</v>
      </c>
      <c r="CW277" s="90" t="str">
        <f>IF($CQ277="Y",INDEX('SBA Size Standards'!$N$3:$N$12,MATCH($CK277,'SBA Size Standards'!$O$3:$O$12,1)),"")</f>
        <v>$500,001 - $1,000,000</v>
      </c>
      <c r="CX277" s="122" t="s">
        <v>4663</v>
      </c>
      <c r="CY277" s="122">
        <f>INDEX('NM O&amp;G Production'!$P$3:$P$537,MATCH(CX277,'NM O&amp;G Production'!$Q$3:$Q$537,0))</f>
        <v>274</v>
      </c>
      <c r="CZ277" s="122" t="str">
        <f>INDEX('NM O&amp;G Production'!$O$3:$O$537,MATCH(CY277,'NM O&amp;G Production'!$P$3:$P$537,0))</f>
        <v>Yes</v>
      </c>
      <c r="DA277" s="127">
        <f>INDEX('NM O&amp;G Production'!$K$3:$O$537,MATCH($CY277,'NM O&amp;G Production'!$P$3:$P$537,0),MATCH(DA$2,'NM O&amp;G Production'!$K$2:$O$2,0))</f>
        <v>0</v>
      </c>
      <c r="DB277" s="127">
        <f>INDEX('NM O&amp;G Production'!$K$3:$O$537,MATCH($CY277,'NM O&amp;G Production'!$P$3:$P$537,0),MATCH(DB$2,'NM O&amp;G Production'!$K$2:$O$2,0))</f>
        <v>1</v>
      </c>
      <c r="DC277" s="127">
        <f>DA277+DB277</f>
        <v>1</v>
      </c>
      <c r="DD277" s="127">
        <f>INDEX('NM O&amp;G Production'!$K$3:$O$537,MATCH($CY277,'NM O&amp;G Production'!$P$3:$P$537,0),MATCH(DD$2,'NM O&amp;G Production'!$K$2:$O$2,0))</f>
        <v>0</v>
      </c>
      <c r="DE277" s="127">
        <f>INDEX('NM O&amp;G Production'!$K$3:$O$537,MATCH($CY277,'NM O&amp;G Production'!$P$3:$P$537,0),MATCH(DE$2,'NM O&amp;G Production'!$K$2:$O$2,0))</f>
        <v>1131</v>
      </c>
      <c r="DF277" s="258">
        <f>CK277/(DB277+DA277)</f>
        <v>606335</v>
      </c>
      <c r="DG277" s="57">
        <f>DD277*(12/18)*1.06*'Oil and Gas Prices'!$C$18</f>
        <v>0</v>
      </c>
      <c r="DH277" s="284">
        <f>DE277*(12/18)*'Oil and Gas Prices'!$C$4</f>
        <v>33930</v>
      </c>
      <c r="DI277" s="284">
        <f>DG277+DH277</f>
        <v>33930</v>
      </c>
      <c r="DJ277" s="57">
        <f>(DG277+DH277)/(DA277+DB277)</f>
        <v>33930</v>
      </c>
      <c r="DK277" s="319"/>
    </row>
    <row r="278" spans="1:115" x14ac:dyDescent="0.25">
      <c r="A278" s="21" t="s">
        <v>1676</v>
      </c>
      <c r="B278" s="21" t="s">
        <v>1677</v>
      </c>
      <c r="C278" s="21"/>
      <c r="D278" s="21" t="s">
        <v>246</v>
      </c>
      <c r="E278" s="21" t="s">
        <v>80</v>
      </c>
      <c r="F278">
        <v>75093</v>
      </c>
      <c r="G278" t="s">
        <v>62</v>
      </c>
      <c r="I278">
        <v>228</v>
      </c>
      <c r="J278" t="s">
        <v>63</v>
      </c>
      <c r="K278" t="s">
        <v>4134</v>
      </c>
      <c r="L278" t="s">
        <v>3627</v>
      </c>
      <c r="M278">
        <v>8</v>
      </c>
      <c r="N278" t="s">
        <v>3889</v>
      </c>
      <c r="O278" s="21" t="s">
        <v>3890</v>
      </c>
      <c r="P278" s="21"/>
      <c r="Q278" s="21" t="s">
        <v>3891</v>
      </c>
      <c r="R278" s="21" t="s">
        <v>137</v>
      </c>
      <c r="S278" s="21" t="s">
        <v>94</v>
      </c>
      <c r="T278" t="s">
        <v>3892</v>
      </c>
      <c r="U278" t="s">
        <v>62</v>
      </c>
      <c r="V278">
        <v>9722331244</v>
      </c>
      <c r="W278" s="23">
        <v>510060</v>
      </c>
      <c r="X278" s="21">
        <v>3</v>
      </c>
      <c r="Y278" s="21">
        <v>3</v>
      </c>
      <c r="Z278">
        <v>2002</v>
      </c>
      <c r="AA278" s="21" t="s">
        <v>70</v>
      </c>
      <c r="AB278" t="s">
        <v>3893</v>
      </c>
      <c r="AC278" t="s">
        <v>98</v>
      </c>
      <c r="AD278" s="21" t="s">
        <v>119</v>
      </c>
      <c r="AE278">
        <v>1382</v>
      </c>
      <c r="AF278" t="s">
        <v>120</v>
      </c>
      <c r="AI278">
        <v>13820000</v>
      </c>
      <c r="AJ278" t="s">
        <v>119</v>
      </c>
      <c r="AM278" s="21">
        <v>213112</v>
      </c>
      <c r="AN278" s="21" t="s">
        <v>74</v>
      </c>
      <c r="AO278" s="21"/>
      <c r="AP278" s="21"/>
      <c r="AQ278" s="21" t="s">
        <v>168</v>
      </c>
      <c r="AR278" t="s">
        <v>3894</v>
      </c>
      <c r="AS278" t="s">
        <v>3895</v>
      </c>
      <c r="AT278" t="s">
        <v>76</v>
      </c>
      <c r="AU278" t="s">
        <v>80</v>
      </c>
      <c r="AV278" t="s">
        <v>62</v>
      </c>
      <c r="AW278" t="s">
        <v>3894</v>
      </c>
      <c r="AX278" t="s">
        <v>3895</v>
      </c>
      <c r="AY278" t="s">
        <v>80</v>
      </c>
      <c r="AZ278" t="s">
        <v>62</v>
      </c>
      <c r="BA278" t="s">
        <v>3894</v>
      </c>
      <c r="BC278" t="s">
        <v>3895</v>
      </c>
      <c r="BD278" t="s">
        <v>80</v>
      </c>
      <c r="BE278" t="s">
        <v>62</v>
      </c>
      <c r="BF278">
        <v>2</v>
      </c>
      <c r="BG278" s="24">
        <v>2</v>
      </c>
      <c r="BH278" s="24" t="s">
        <v>3894</v>
      </c>
      <c r="BI278" s="24" t="s">
        <v>3895</v>
      </c>
      <c r="BJ278" s="24" t="s">
        <v>4319</v>
      </c>
      <c r="BK278" s="24" t="s">
        <v>4320</v>
      </c>
      <c r="BL278" s="24" t="s">
        <v>246</v>
      </c>
      <c r="BM278" s="24" t="s">
        <v>94</v>
      </c>
      <c r="BN278" s="24" t="s">
        <v>4321</v>
      </c>
      <c r="BO278" s="24" t="s">
        <v>62</v>
      </c>
      <c r="BP278" s="4">
        <v>9722331244</v>
      </c>
      <c r="BQ278" s="25">
        <v>596549</v>
      </c>
      <c r="BR278" s="24">
        <v>7</v>
      </c>
      <c r="BS278" s="24">
        <v>17</v>
      </c>
      <c r="BT278" s="4">
        <v>2003</v>
      </c>
      <c r="BU278" s="24" t="s">
        <v>163</v>
      </c>
      <c r="BV278" s="4" t="s">
        <v>4322</v>
      </c>
      <c r="BW278" s="4" t="s">
        <v>133</v>
      </c>
      <c r="BX278" s="24" t="s">
        <v>99</v>
      </c>
      <c r="BY278" s="4">
        <v>1311</v>
      </c>
      <c r="BZ278" s="4" t="s">
        <v>100</v>
      </c>
      <c r="CC278" s="4">
        <v>13110000</v>
      </c>
      <c r="CD278" s="4" t="s">
        <v>276</v>
      </c>
      <c r="CG278" s="24">
        <v>211120</v>
      </c>
      <c r="CH278" s="24" t="s">
        <v>104</v>
      </c>
      <c r="CI278" s="24"/>
      <c r="CJ278" s="24"/>
      <c r="CK278" s="19">
        <f>IF(BQ278&gt;0,BQ278,W278)</f>
        <v>596549</v>
      </c>
      <c r="CL278" s="20">
        <f>IF(BS278&gt;0,BS278,Y278)</f>
        <v>17</v>
      </c>
      <c r="CM278" s="34">
        <f>IF(CG278&gt;0,CG278,AM278)</f>
        <v>211120</v>
      </c>
      <c r="CN278" s="80">
        <f>IF($BH278="",1,COUNTIF($BH$3:$BH278,$BH278))</f>
        <v>1</v>
      </c>
      <c r="CO278" s="33" t="s">
        <v>4386</v>
      </c>
      <c r="CP278" t="str">
        <f>IF($K278="Standard Match","Match",IF($K278="Name Only Match",IF($CO278="Yes","Match","Name Only Match"),"No Match"))</f>
        <v>Match</v>
      </c>
      <c r="CQ278" s="35" t="str">
        <f>IF(AND(CP278="Match",CK278&gt;0,CL278&gt;0),"Y","N")</f>
        <v>Y</v>
      </c>
      <c r="CR278" s="21"/>
      <c r="CS278" t="str">
        <f>IF($CQ278="Y",VLOOKUP($CM278,'SBA Size Standards'!$B$3:$G$57,MATCH('SBA Size Standards'!$G$3,'SBA Size Standards'!$B$3:$G$3,0),FALSE),"")</f>
        <v>Employment</v>
      </c>
      <c r="CT278" s="60" t="str">
        <f>IF(CQ278="Y",IF($CS278="Employment","N/A",VLOOKUP($CM278,'SBA Size Standards'!$B$3:$G$57,MATCH('SBA Size Standards'!$E$3,'SBA Size Standards'!$B$3:$G$3,0),FALSE)),"")</f>
        <v>N/A</v>
      </c>
      <c r="CU278" s="86">
        <f>IF($CQ278="Y",IF($CS278="Revenue","N/A",VLOOKUP($CM278,'SBA Size Standards'!$B$3:$G$57,MATCH('SBA Size Standards'!$F$3,'SBA Size Standards'!$B$3:$G$3,0),FALSE)),"")</f>
        <v>1250</v>
      </c>
      <c r="CV278" t="str">
        <f>IF($CQ278="Y",IF(OR(AND($CS278="Employment",$CL278&lt;$CU278),AND($CS278="Revenue",$CK278&lt;$CT278)),"YES","NO"),"")</f>
        <v>YES</v>
      </c>
      <c r="CW278" s="90" t="str">
        <f>IF($CQ278="Y",INDEX('SBA Size Standards'!$N$3:$N$12,MATCH($CK278,'SBA Size Standards'!$O$3:$O$12,1)),"")</f>
        <v>$500,001 - $1,000,000</v>
      </c>
      <c r="CX278" s="122" t="s">
        <v>4966</v>
      </c>
      <c r="CY278" s="122">
        <f>INDEX('NM O&amp;G Production'!$P$3:$P$537,MATCH(CX278,'NM O&amp;G Production'!$Q$3:$Q$537,0))</f>
        <v>228</v>
      </c>
      <c r="CZ278" s="122" t="str">
        <f>INDEX('NM O&amp;G Production'!$O$3:$O$537,MATCH(CY278,'NM O&amp;G Production'!$P$3:$P$537,0))</f>
        <v>Yes</v>
      </c>
      <c r="DA278" s="127">
        <f>INDEX('NM O&amp;G Production'!$K$3:$O$537,MATCH($CY278,'NM O&amp;G Production'!$P$3:$P$537,0),MATCH(DA$2,'NM O&amp;G Production'!$K$2:$O$2,0))</f>
        <v>3</v>
      </c>
      <c r="DB278" s="127">
        <f>INDEX('NM O&amp;G Production'!$K$3:$O$537,MATCH($CY278,'NM O&amp;G Production'!$P$3:$P$537,0),MATCH(DB$2,'NM O&amp;G Production'!$K$2:$O$2,0))</f>
        <v>4</v>
      </c>
      <c r="DC278" s="127">
        <f>DA278+DB278</f>
        <v>7</v>
      </c>
      <c r="DD278" s="127">
        <f>INDEX('NM O&amp;G Production'!$K$3:$O$537,MATCH($CY278,'NM O&amp;G Production'!$P$3:$P$537,0),MATCH(DD$2,'NM O&amp;G Production'!$K$2:$O$2,0))</f>
        <v>15342</v>
      </c>
      <c r="DE278" s="127">
        <f>INDEX('NM O&amp;G Production'!$K$3:$O$537,MATCH($CY278,'NM O&amp;G Production'!$P$3:$P$537,0),MATCH(DE$2,'NM O&amp;G Production'!$K$2:$O$2,0))</f>
        <v>24862</v>
      </c>
      <c r="DF278" s="258">
        <f>CK278/(DB278+DA278)</f>
        <v>85221.28571428571</v>
      </c>
      <c r="DG278" s="57">
        <f>DD278*(12/18)*1.06*'Oil and Gas Prices'!$C$18</f>
        <v>25911.615200000004</v>
      </c>
      <c r="DH278" s="284">
        <f>DE278*(12/18)*'Oil and Gas Prices'!$C$4</f>
        <v>745859.99999999988</v>
      </c>
      <c r="DI278" s="284">
        <f>DG278+DH278</f>
        <v>771771.61519999988</v>
      </c>
      <c r="DJ278" s="57">
        <f>(DG278+DH278)/(DA278+DB278)</f>
        <v>110253.08788571427</v>
      </c>
      <c r="DK278" s="319"/>
    </row>
    <row r="279" spans="1:115" x14ac:dyDescent="0.25">
      <c r="A279" t="s">
        <v>3063</v>
      </c>
      <c r="B279" t="s">
        <v>2908</v>
      </c>
      <c r="D279" t="s">
        <v>83</v>
      </c>
      <c r="E279" t="s">
        <v>84</v>
      </c>
      <c r="F279">
        <v>88211</v>
      </c>
      <c r="G279" t="s">
        <v>62</v>
      </c>
      <c r="I279">
        <v>447</v>
      </c>
      <c r="J279" t="s">
        <v>63</v>
      </c>
      <c r="K279" t="s">
        <v>4133</v>
      </c>
      <c r="L279" t="s">
        <v>279</v>
      </c>
      <c r="M279">
        <v>8</v>
      </c>
      <c r="N279" t="s">
        <v>3064</v>
      </c>
      <c r="O279" t="s">
        <v>3065</v>
      </c>
      <c r="Q279" t="s">
        <v>2911</v>
      </c>
      <c r="R279" t="s">
        <v>83</v>
      </c>
      <c r="S279" t="s">
        <v>214</v>
      </c>
      <c r="T279" t="s">
        <v>2912</v>
      </c>
      <c r="U279" t="s">
        <v>62</v>
      </c>
      <c r="V279">
        <v>5757363250</v>
      </c>
      <c r="W279" s="1">
        <v>596499</v>
      </c>
      <c r="X279">
        <v>12</v>
      </c>
      <c r="Y279">
        <v>12</v>
      </c>
      <c r="Z279">
        <v>2017</v>
      </c>
      <c r="AA279" t="s">
        <v>70</v>
      </c>
      <c r="AB279" t="s">
        <v>2913</v>
      </c>
      <c r="AC279" t="s">
        <v>98</v>
      </c>
      <c r="AD279" t="s">
        <v>1300</v>
      </c>
      <c r="AE279">
        <v>1382</v>
      </c>
      <c r="AF279" t="s">
        <v>120</v>
      </c>
      <c r="AI279">
        <v>13820000</v>
      </c>
      <c r="AJ279" t="s">
        <v>119</v>
      </c>
      <c r="AM279">
        <v>561499</v>
      </c>
      <c r="AN279" t="s">
        <v>1303</v>
      </c>
      <c r="AQ279" t="s">
        <v>75</v>
      </c>
      <c r="AT279" t="s">
        <v>76</v>
      </c>
      <c r="BF279">
        <v>0</v>
      </c>
      <c r="BG279">
        <v>0</v>
      </c>
      <c r="CK279" s="19">
        <f>IF(BQ279&gt;0,BQ279,W279)</f>
        <v>596499</v>
      </c>
      <c r="CL279" s="20">
        <f>IF(BS279&gt;0,BS279,Y279)</f>
        <v>12</v>
      </c>
      <c r="CM279" s="34">
        <f>IF(CG279&gt;0,CG279,AM279)</f>
        <v>561499</v>
      </c>
      <c r="CN279" s="80">
        <f>IF($BH279="",1,COUNTIF($BH$3:$BH279,$BH279))</f>
        <v>1</v>
      </c>
      <c r="CP279" t="str">
        <f>IF($K279="Standard Match","Match",IF($K279="Name Only Match",IF($CO279="Yes","Match","Name Only Match"),"No Match"))</f>
        <v>Match</v>
      </c>
      <c r="CQ279" s="35" t="str">
        <f>IF(AND(CP279="Match",CK279&gt;0,CL279&gt;0),"Y","N")</f>
        <v>Y</v>
      </c>
      <c r="CS279" t="str">
        <f>IF($CQ279="Y",VLOOKUP($CM279,'SBA Size Standards'!$B$3:$G$57,MATCH('SBA Size Standards'!$G$3,'SBA Size Standards'!$B$3:$G$3,0),FALSE),"")</f>
        <v>Revenue</v>
      </c>
      <c r="CT279" s="60">
        <f>IF(CQ279="Y",IF($CS279="Employment","N/A",VLOOKUP($CM279,'SBA Size Standards'!$B$3:$G$57,MATCH('SBA Size Standards'!$E$3,'SBA Size Standards'!$B$3:$G$3,0),FALSE)),"")</f>
        <v>16500000</v>
      </c>
      <c r="CU279" s="86" t="str">
        <f>IF($CQ279="Y",IF($CS279="Revenue","N/A",VLOOKUP($CM279,'SBA Size Standards'!$B$3:$G$57,MATCH('SBA Size Standards'!$F$3,'SBA Size Standards'!$B$3:$G$3,0),FALSE)),"")</f>
        <v>N/A</v>
      </c>
      <c r="CV279" t="str">
        <f>IF($CQ279="Y",IF(OR(AND($CS279="Employment",$CL279&lt;$CU279),AND($CS279="Revenue",$CK279&lt;$CT279)),"YES","NO"),"")</f>
        <v>YES</v>
      </c>
      <c r="CW279" s="90" t="str">
        <f>IF($CQ279="Y",INDEX('SBA Size Standards'!$N$3:$N$12,MATCH($CK279,'SBA Size Standards'!$O$3:$O$12,1)),"")</f>
        <v>$500,001 - $1,000,000</v>
      </c>
      <c r="CX279" s="122" t="s">
        <v>4903</v>
      </c>
      <c r="CY279" s="122">
        <f>INDEX('NM O&amp;G Production'!$P$3:$P$537,MATCH(CX279,'NM O&amp;G Production'!$Q$3:$Q$537,0))</f>
        <v>447</v>
      </c>
      <c r="CZ279" s="122" t="str">
        <f>INDEX('NM O&amp;G Production'!$O$3:$O$537,MATCH(CY279,'NM O&amp;G Production'!$P$3:$P$537,0))</f>
        <v>Yes</v>
      </c>
      <c r="DA279" s="127">
        <f>INDEX('NM O&amp;G Production'!$K$3:$O$537,MATCH($CY279,'NM O&amp;G Production'!$P$3:$P$537,0),MATCH(DA$2,'NM O&amp;G Production'!$K$2:$O$2,0))</f>
        <v>8</v>
      </c>
      <c r="DB279" s="127">
        <f>INDEX('NM O&amp;G Production'!$K$3:$O$537,MATCH($CY279,'NM O&amp;G Production'!$P$3:$P$537,0),MATCH(DB$2,'NM O&amp;G Production'!$K$2:$O$2,0))</f>
        <v>9</v>
      </c>
      <c r="DC279" s="127">
        <f>DA279+DB279</f>
        <v>17</v>
      </c>
      <c r="DD279" s="127">
        <f>INDEX('NM O&amp;G Production'!$K$3:$O$537,MATCH($CY279,'NM O&amp;G Production'!$P$3:$P$537,0),MATCH(DD$2,'NM O&amp;G Production'!$K$2:$O$2,0))</f>
        <v>711667</v>
      </c>
      <c r="DE279" s="127">
        <f>INDEX('NM O&amp;G Production'!$K$3:$O$537,MATCH($CY279,'NM O&amp;G Production'!$P$3:$P$537,0),MATCH(DE$2,'NM O&amp;G Production'!$K$2:$O$2,0))</f>
        <v>3158</v>
      </c>
      <c r="DF279" s="258">
        <f>CK279/(DB279+DA279)</f>
        <v>35088.176470588238</v>
      </c>
      <c r="DG279" s="57">
        <f>DD279*(12/18)*1.06*'Oil and Gas Prices'!$C$18</f>
        <v>1201958.1185333335</v>
      </c>
      <c r="DH279" s="284">
        <f>DE279*(12/18)*'Oil and Gas Prices'!$C$4</f>
        <v>94739.999999999985</v>
      </c>
      <c r="DI279" s="284">
        <f>DG279+DH279</f>
        <v>1296698.1185333335</v>
      </c>
      <c r="DJ279" s="57">
        <f>(DG279+DH279)/(DA279+DB279)</f>
        <v>76276.359913725508</v>
      </c>
      <c r="DK279" s="318"/>
    </row>
    <row r="280" spans="1:115" x14ac:dyDescent="0.25">
      <c r="A280" t="s">
        <v>146</v>
      </c>
      <c r="B280" t="s">
        <v>147</v>
      </c>
      <c r="D280" t="s">
        <v>148</v>
      </c>
      <c r="E280" t="s">
        <v>80</v>
      </c>
      <c r="F280">
        <v>76147</v>
      </c>
      <c r="G280" t="s">
        <v>62</v>
      </c>
      <c r="I280">
        <v>12</v>
      </c>
      <c r="J280" t="s">
        <v>63</v>
      </c>
      <c r="K280" t="s">
        <v>4133</v>
      </c>
      <c r="L280" t="s">
        <v>149</v>
      </c>
      <c r="M280">
        <v>10</v>
      </c>
      <c r="N280" t="s">
        <v>150</v>
      </c>
      <c r="O280" t="s">
        <v>151</v>
      </c>
      <c r="Q280" t="s">
        <v>152</v>
      </c>
      <c r="R280" t="s">
        <v>153</v>
      </c>
      <c r="S280" t="s">
        <v>94</v>
      </c>
      <c r="T280" t="s">
        <v>154</v>
      </c>
      <c r="U280" t="s">
        <v>62</v>
      </c>
      <c r="V280">
        <v>4326860847</v>
      </c>
      <c r="W280" s="1">
        <v>595823</v>
      </c>
      <c r="X280">
        <v>2</v>
      </c>
      <c r="Y280">
        <v>2</v>
      </c>
      <c r="Z280">
        <v>1987</v>
      </c>
      <c r="AA280" t="s">
        <v>70</v>
      </c>
      <c r="AB280" t="s">
        <v>155</v>
      </c>
      <c r="AC280" t="s">
        <v>133</v>
      </c>
      <c r="AD280" t="s">
        <v>99</v>
      </c>
      <c r="AE280">
        <v>1311</v>
      </c>
      <c r="AF280" t="s">
        <v>100</v>
      </c>
      <c r="AI280">
        <v>13110101</v>
      </c>
      <c r="AJ280" t="s">
        <v>102</v>
      </c>
      <c r="AM280">
        <v>211120</v>
      </c>
      <c r="AN280" t="s">
        <v>104</v>
      </c>
      <c r="AQ280" t="s">
        <v>75</v>
      </c>
      <c r="AT280" t="s">
        <v>76</v>
      </c>
      <c r="BF280">
        <v>0</v>
      </c>
      <c r="BG280">
        <v>0</v>
      </c>
      <c r="CK280" s="19">
        <f>IF(BQ280&gt;0,BQ280,W280)</f>
        <v>595823</v>
      </c>
      <c r="CL280" s="20">
        <f>IF(BS280&gt;0,BS280,Y280)</f>
        <v>2</v>
      </c>
      <c r="CM280" s="34">
        <f>IF(CG280&gt;0,CG280,AM280)</f>
        <v>211120</v>
      </c>
      <c r="CN280" s="80">
        <f>IF($BH280="",1,COUNTIF($BH$3:$BH280,$BH280))</f>
        <v>1</v>
      </c>
      <c r="CP280" t="str">
        <f>IF($K280="Standard Match","Match",IF($K280="Name Only Match",IF($CO280="Yes","Match","Name Only Match"),"No Match"))</f>
        <v>Match</v>
      </c>
      <c r="CQ280" s="35" t="str">
        <f>IF(AND(CP280="Match",CK280&gt;0,CL280&gt;0),"Y","N")</f>
        <v>Y</v>
      </c>
      <c r="CS280" t="str">
        <f>IF($CQ280="Y",VLOOKUP($CM280,'SBA Size Standards'!$B$3:$G$57,MATCH('SBA Size Standards'!$G$3,'SBA Size Standards'!$B$3:$G$3,0),FALSE),"")</f>
        <v>Employment</v>
      </c>
      <c r="CT280" s="60" t="str">
        <f>IF(CQ280="Y",IF($CS280="Employment","N/A",VLOOKUP($CM280,'SBA Size Standards'!$B$3:$G$57,MATCH('SBA Size Standards'!$E$3,'SBA Size Standards'!$B$3:$G$3,0),FALSE)),"")</f>
        <v>N/A</v>
      </c>
      <c r="CU280" s="86">
        <f>IF($CQ280="Y",IF($CS280="Revenue","N/A",VLOOKUP($CM280,'SBA Size Standards'!$B$3:$G$57,MATCH('SBA Size Standards'!$F$3,'SBA Size Standards'!$B$3:$G$3,0),FALSE)),"")</f>
        <v>1250</v>
      </c>
      <c r="CV280" t="str">
        <f>IF($CQ280="Y",IF(OR(AND($CS280="Employment",$CL280&lt;$CU280),AND($CS280="Revenue",$CK280&lt;$CT280)),"YES","NO"),"")</f>
        <v>YES</v>
      </c>
      <c r="CW280" s="90" t="str">
        <f>IF($CQ280="Y",INDEX('SBA Size Standards'!$N$3:$N$12,MATCH($CK280,'SBA Size Standards'!$O$3:$O$12,1)),"")</f>
        <v>$500,001 - $1,000,000</v>
      </c>
      <c r="CX280" s="122" t="s">
        <v>4537</v>
      </c>
      <c r="CY280" s="122">
        <f>INDEX('NM O&amp;G Production'!$P$3:$P$537,MATCH(CX280,'NM O&amp;G Production'!$Q$3:$Q$537,0))</f>
        <v>12</v>
      </c>
      <c r="CZ280" s="122" t="str">
        <f>INDEX('NM O&amp;G Production'!$K$3:$O$537,MATCH($CY280,'NM O&amp;G Production'!$P$3:$P$537,0),MATCH(CZ$2,'NM O&amp;G Production'!$K$2:$O$2,0))</f>
        <v>Yes</v>
      </c>
      <c r="DA280" s="127">
        <f>INDEX('NM O&amp;G Production'!$K$3:$O$537,MATCH($CY280,'NM O&amp;G Production'!$P$3:$P$537,0),MATCH(DA$2,'NM O&amp;G Production'!$K$2:$O$2,0))</f>
        <v>1</v>
      </c>
      <c r="DB280" s="127">
        <f>INDEX('NM O&amp;G Production'!$K$3:$O$537,MATCH($CY280,'NM O&amp;G Production'!$P$3:$P$537,0),MATCH(DB$2,'NM O&amp;G Production'!$K$2:$O$2,0))</f>
        <v>5</v>
      </c>
      <c r="DC280" s="127">
        <f>DA280+DB280</f>
        <v>6</v>
      </c>
      <c r="DD280" s="127">
        <f>INDEX('NM O&amp;G Production'!$K$3:$O$537,MATCH($CY280,'NM O&amp;G Production'!$P$3:$P$537,0),MATCH(DD$2,'NM O&amp;G Production'!$K$2:$O$2,0))</f>
        <v>32051</v>
      </c>
      <c r="DE280" s="127">
        <f>INDEX('NM O&amp;G Production'!$K$3:$O$537,MATCH($CY280,'NM O&amp;G Production'!$P$3:$P$537,0),MATCH(DE$2,'NM O&amp;G Production'!$K$2:$O$2,0))</f>
        <v>22928</v>
      </c>
      <c r="DF280" s="258">
        <f>CK280/(DB280+DA280)</f>
        <v>99303.833333333328</v>
      </c>
      <c r="DG280" s="57">
        <f>DD280*(12/18)*1.06*'Oil and Gas Prices'!$C$18</f>
        <v>54132.00226666667</v>
      </c>
      <c r="DH280" s="284">
        <f>DE280*(12/18)*'Oil and Gas Prices'!$C$4</f>
        <v>687840</v>
      </c>
      <c r="DI280" s="284">
        <f>DG280+DH280</f>
        <v>741972.00226666662</v>
      </c>
      <c r="DJ280" s="57">
        <f>(DG280+DH280)/(DA280+DB280)</f>
        <v>123662.00037777777</v>
      </c>
      <c r="DK280" s="319"/>
    </row>
    <row r="281" spans="1:115" x14ac:dyDescent="0.25">
      <c r="A281" t="s">
        <v>443</v>
      </c>
      <c r="B281" t="s">
        <v>444</v>
      </c>
      <c r="D281" t="s">
        <v>153</v>
      </c>
      <c r="E281" t="s">
        <v>80</v>
      </c>
      <c r="F281">
        <v>79701</v>
      </c>
      <c r="G281" t="s">
        <v>62</v>
      </c>
      <c r="I281">
        <v>54</v>
      </c>
      <c r="J281" t="s">
        <v>63</v>
      </c>
      <c r="K281" t="s">
        <v>4133</v>
      </c>
      <c r="L281" t="s">
        <v>64</v>
      </c>
      <c r="M281">
        <v>10</v>
      </c>
      <c r="N281" t="s">
        <v>445</v>
      </c>
      <c r="O281" t="s">
        <v>446</v>
      </c>
      <c r="P281" t="s">
        <v>447</v>
      </c>
      <c r="Q281" t="s">
        <v>448</v>
      </c>
      <c r="R281" t="s">
        <v>153</v>
      </c>
      <c r="S281" t="s">
        <v>94</v>
      </c>
      <c r="T281" t="s">
        <v>449</v>
      </c>
      <c r="U281" t="s">
        <v>62</v>
      </c>
      <c r="V281">
        <v>4326844033</v>
      </c>
      <c r="W281" s="1">
        <v>591513</v>
      </c>
      <c r="X281">
        <v>4</v>
      </c>
      <c r="Y281">
        <v>4</v>
      </c>
      <c r="Z281">
        <v>1989</v>
      </c>
      <c r="AA281" t="s">
        <v>70</v>
      </c>
      <c r="AB281" t="s">
        <v>450</v>
      </c>
      <c r="AC281" t="s">
        <v>98</v>
      </c>
      <c r="AD281" t="s">
        <v>99</v>
      </c>
      <c r="AE281">
        <v>1311</v>
      </c>
      <c r="AF281" t="s">
        <v>100</v>
      </c>
      <c r="AI281">
        <v>13110101</v>
      </c>
      <c r="AJ281" t="s">
        <v>102</v>
      </c>
      <c r="AM281">
        <v>211120</v>
      </c>
      <c r="AN281" t="s">
        <v>104</v>
      </c>
      <c r="AQ281" t="s">
        <v>75</v>
      </c>
      <c r="AT281" t="s">
        <v>76</v>
      </c>
      <c r="BF281">
        <v>0</v>
      </c>
      <c r="BG281">
        <v>0</v>
      </c>
      <c r="CK281" s="19">
        <f>IF(BQ281&gt;0,BQ281,W281)</f>
        <v>591513</v>
      </c>
      <c r="CL281" s="20">
        <f>IF(BS281&gt;0,BS281,Y281)</f>
        <v>4</v>
      </c>
      <c r="CM281" s="34">
        <f>IF(CG281&gt;0,CG281,AM281)</f>
        <v>211120</v>
      </c>
      <c r="CN281" s="80">
        <f>IF($BH281="",1,COUNTIF($BH$3:$BH281,$BH281))</f>
        <v>1</v>
      </c>
      <c r="CP281" t="str">
        <f>IF($K281="Standard Match","Match",IF($K281="Name Only Match",IF($CO281="Yes","Match","Name Only Match"),"No Match"))</f>
        <v>Match</v>
      </c>
      <c r="CQ281" s="35" t="str">
        <f>IF(AND(CP281="Match",CK281&gt;0,CL281&gt;0),"Y","N")</f>
        <v>Y</v>
      </c>
      <c r="CS281" t="str">
        <f>IF($CQ281="Y",VLOOKUP($CM281,'SBA Size Standards'!$B$3:$G$57,MATCH('SBA Size Standards'!$G$3,'SBA Size Standards'!$B$3:$G$3,0),FALSE),"")</f>
        <v>Employment</v>
      </c>
      <c r="CT281" s="60" t="str">
        <f>IF(CQ281="Y",IF($CS281="Employment","N/A",VLOOKUP($CM281,'SBA Size Standards'!$B$3:$G$57,MATCH('SBA Size Standards'!$E$3,'SBA Size Standards'!$B$3:$G$3,0),FALSE)),"")</f>
        <v>N/A</v>
      </c>
      <c r="CU281" s="86">
        <f>IF($CQ281="Y",IF($CS281="Revenue","N/A",VLOOKUP($CM281,'SBA Size Standards'!$B$3:$G$57,MATCH('SBA Size Standards'!$F$3,'SBA Size Standards'!$B$3:$G$3,0),FALSE)),"")</f>
        <v>1250</v>
      </c>
      <c r="CV281" t="str">
        <f>IF($CQ281="Y",IF(OR(AND($CS281="Employment",$CL281&lt;$CU281),AND($CS281="Revenue",$CK281&lt;$CT281)),"YES","NO"),"")</f>
        <v>YES</v>
      </c>
      <c r="CW281" s="90" t="str">
        <f>IF($CQ281="Y",INDEX('SBA Size Standards'!$N$3:$N$12,MATCH($CK281,'SBA Size Standards'!$O$3:$O$12,1)),"")</f>
        <v>$500,001 - $1,000,000</v>
      </c>
      <c r="CX281" s="122" t="s">
        <v>4554</v>
      </c>
      <c r="CY281" s="122">
        <f>INDEX('NM O&amp;G Production'!$P$3:$P$537,MATCH(CX281,'NM O&amp;G Production'!$Q$3:$Q$537,0))</f>
        <v>54</v>
      </c>
      <c r="CZ281" s="122" t="str">
        <f>INDEX('NM O&amp;G Production'!$O$3:$O$537,MATCH(CY281,'NM O&amp;G Production'!$P$3:$P$537,0))</f>
        <v>Yes</v>
      </c>
      <c r="DA281" s="127">
        <f>INDEX('NM O&amp;G Production'!$K$3:$O$537,MATCH($CY281,'NM O&amp;G Production'!$P$3:$P$537,0),MATCH(DA$2,'NM O&amp;G Production'!$K$2:$O$2,0))</f>
        <v>4</v>
      </c>
      <c r="DB281" s="127">
        <f>INDEX('NM O&amp;G Production'!$K$3:$O$537,MATCH($CY281,'NM O&amp;G Production'!$P$3:$P$537,0),MATCH(DB$2,'NM O&amp;G Production'!$K$2:$O$2,0))</f>
        <v>81</v>
      </c>
      <c r="DC281" s="127">
        <f>DA281+DB281</f>
        <v>85</v>
      </c>
      <c r="DD281" s="127">
        <f>INDEX('NM O&amp;G Production'!$K$3:$O$537,MATCH($CY281,'NM O&amp;G Production'!$P$3:$P$537,0),MATCH(DD$2,'NM O&amp;G Production'!$K$2:$O$2,0))</f>
        <v>242349</v>
      </c>
      <c r="DE281" s="127">
        <f>INDEX('NM O&amp;G Production'!$K$3:$O$537,MATCH($CY281,'NM O&amp;G Production'!$P$3:$P$537,0),MATCH(DE$2,'NM O&amp;G Production'!$K$2:$O$2,0))</f>
        <v>62887</v>
      </c>
      <c r="DF281" s="258">
        <f>CK281/(DB281+DA281)</f>
        <v>6958.9764705882353</v>
      </c>
      <c r="DG281" s="57">
        <f>DD281*(12/18)*1.06*'Oil and Gas Prices'!$C$18</f>
        <v>409311.30440000008</v>
      </c>
      <c r="DH281" s="284">
        <f>DE281*(12/18)*'Oil and Gas Prices'!$C$4</f>
        <v>1886610</v>
      </c>
      <c r="DI281" s="284">
        <f>DG281+DH281</f>
        <v>2295921.3044000003</v>
      </c>
      <c r="DJ281" s="57">
        <f>(DG281+DH281)/(DA281+DB281)</f>
        <v>27010.838875294121</v>
      </c>
      <c r="DK281" s="318"/>
    </row>
    <row r="282" spans="1:115" x14ac:dyDescent="0.25">
      <c r="A282" t="s">
        <v>743</v>
      </c>
      <c r="B282" t="s">
        <v>744</v>
      </c>
      <c r="D282" t="s">
        <v>153</v>
      </c>
      <c r="E282" t="s">
        <v>80</v>
      </c>
      <c r="F282">
        <v>79701</v>
      </c>
      <c r="G282" t="s">
        <v>62</v>
      </c>
      <c r="I282">
        <v>92</v>
      </c>
      <c r="J282" t="s">
        <v>63</v>
      </c>
      <c r="K282" t="s">
        <v>4133</v>
      </c>
      <c r="L282" t="s">
        <v>90</v>
      </c>
      <c r="M282">
        <v>8</v>
      </c>
      <c r="N282" t="s">
        <v>745</v>
      </c>
      <c r="O282" t="s">
        <v>746</v>
      </c>
      <c r="Q282" t="s">
        <v>747</v>
      </c>
      <c r="R282" t="s">
        <v>153</v>
      </c>
      <c r="S282" t="s">
        <v>94</v>
      </c>
      <c r="T282" t="s">
        <v>748</v>
      </c>
      <c r="U282" t="s">
        <v>62</v>
      </c>
      <c r="V282">
        <v>4326954222</v>
      </c>
      <c r="W282" s="1">
        <v>558874</v>
      </c>
      <c r="X282">
        <v>7</v>
      </c>
      <c r="Y282">
        <v>7</v>
      </c>
      <c r="Z282">
        <v>2015</v>
      </c>
      <c r="AA282" t="s">
        <v>70</v>
      </c>
      <c r="AB282" t="s">
        <v>749</v>
      </c>
      <c r="AC282" t="s">
        <v>133</v>
      </c>
      <c r="AD282" t="s">
        <v>119</v>
      </c>
      <c r="AE282">
        <v>1382</v>
      </c>
      <c r="AF282" t="s">
        <v>120</v>
      </c>
      <c r="AI282">
        <v>13820000</v>
      </c>
      <c r="AJ282" t="s">
        <v>119</v>
      </c>
      <c r="AM282">
        <v>213112</v>
      </c>
      <c r="AN282" t="s">
        <v>74</v>
      </c>
      <c r="AQ282" t="s">
        <v>75</v>
      </c>
      <c r="AT282" t="s">
        <v>76</v>
      </c>
      <c r="BF282">
        <v>0</v>
      </c>
      <c r="BG282">
        <v>0</v>
      </c>
      <c r="CK282" s="19">
        <f>IF(BQ282&gt;0,BQ282,W282)</f>
        <v>558874</v>
      </c>
      <c r="CL282" s="20">
        <f>IF(BS282&gt;0,BS282,Y282)</f>
        <v>7</v>
      </c>
      <c r="CM282" s="34">
        <f>IF(CG282&gt;0,CG282,AM282)</f>
        <v>213112</v>
      </c>
      <c r="CN282" s="80">
        <f>IF($BH282="",1,COUNTIF($BH$3:$BH282,$BH282))</f>
        <v>1</v>
      </c>
      <c r="CP282" t="str">
        <f>IF($K282="Standard Match","Match",IF($K282="Name Only Match",IF($CO282="Yes","Match","Name Only Match"),"No Match"))</f>
        <v>Match</v>
      </c>
      <c r="CQ282" s="35" t="str">
        <f>IF(AND(CP282="Match",CK282&gt;0,CL282&gt;0),"Y","N")</f>
        <v>Y</v>
      </c>
      <c r="CS282" t="str">
        <f>IF($CQ282="Y",VLOOKUP($CM282,'SBA Size Standards'!$B$3:$G$57,MATCH('SBA Size Standards'!$G$3,'SBA Size Standards'!$B$3:$G$3,0),FALSE),"")</f>
        <v>Revenue</v>
      </c>
      <c r="CT282" s="60">
        <f>IF(CQ282="Y",IF($CS282="Employment","N/A",VLOOKUP($CM282,'SBA Size Standards'!$B$3:$G$57,MATCH('SBA Size Standards'!$E$3,'SBA Size Standards'!$B$3:$G$3,0),FALSE)),"")</f>
        <v>41500000</v>
      </c>
      <c r="CU282" s="86" t="str">
        <f>IF($CQ282="Y",IF($CS282="Revenue","N/A",VLOOKUP($CM282,'SBA Size Standards'!$B$3:$G$57,MATCH('SBA Size Standards'!$F$3,'SBA Size Standards'!$B$3:$G$3,0),FALSE)),"")</f>
        <v>N/A</v>
      </c>
      <c r="CV282" t="str">
        <f>IF($CQ282="Y",IF(OR(AND($CS282="Employment",$CL282&lt;$CU282),AND($CS282="Revenue",$CK282&lt;$CT282)),"YES","NO"),"")</f>
        <v>YES</v>
      </c>
      <c r="CW282" s="90" t="str">
        <f>IF($CQ282="Y",INDEX('SBA Size Standards'!$N$3:$N$12,MATCH($CK282,'SBA Size Standards'!$O$3:$O$12,1)),"")</f>
        <v>$500,001 - $1,000,000</v>
      </c>
      <c r="CX282" s="122" t="s">
        <v>4821</v>
      </c>
      <c r="CY282" s="122">
        <f>INDEX('NM O&amp;G Production'!$P$3:$P$537,MATCH(CX282,'NM O&amp;G Production'!$Q$3:$Q$537,0))</f>
        <v>92</v>
      </c>
      <c r="CZ282" s="122" t="str">
        <f>INDEX('NM O&amp;G Production'!$O$3:$O$537,MATCH(CY282,'NM O&amp;G Production'!$P$3:$P$537,0))</f>
        <v>Yes</v>
      </c>
      <c r="DA282" s="127">
        <f>INDEX('NM O&amp;G Production'!$K$3:$O$537,MATCH($CY282,'NM O&amp;G Production'!$P$3:$P$537,0),MATCH(DA$2,'NM O&amp;G Production'!$K$2:$O$2,0))</f>
        <v>10</v>
      </c>
      <c r="DB282" s="127">
        <f>INDEX('NM O&amp;G Production'!$K$3:$O$537,MATCH($CY282,'NM O&amp;G Production'!$P$3:$P$537,0),MATCH(DB$2,'NM O&amp;G Production'!$K$2:$O$2,0))</f>
        <v>16</v>
      </c>
      <c r="DC282" s="127">
        <f>DA282+DB282</f>
        <v>26</v>
      </c>
      <c r="DD282" s="127">
        <f>INDEX('NM O&amp;G Production'!$K$3:$O$537,MATCH($CY282,'NM O&amp;G Production'!$P$3:$P$537,0),MATCH(DD$2,'NM O&amp;G Production'!$K$2:$O$2,0))</f>
        <v>797186</v>
      </c>
      <c r="DE282" s="127">
        <f>INDEX('NM O&amp;G Production'!$K$3:$O$537,MATCH($CY282,'NM O&amp;G Production'!$P$3:$P$537,0),MATCH(DE$2,'NM O&amp;G Production'!$K$2:$O$2,0))</f>
        <v>89734</v>
      </c>
      <c r="DF282" s="258">
        <f>CK282/(DB282+DA282)</f>
        <v>21495.153846153848</v>
      </c>
      <c r="DG282" s="57">
        <f>DD282*(12/18)*1.06*'Oil and Gas Prices'!$C$18</f>
        <v>1346394.0082666667</v>
      </c>
      <c r="DH282" s="284">
        <f>DE282*(12/18)*'Oil and Gas Prices'!$C$4</f>
        <v>2692020</v>
      </c>
      <c r="DI282" s="284">
        <f>DG282+DH282</f>
        <v>4038414.0082666669</v>
      </c>
      <c r="DJ282" s="57">
        <f>(DG282+DH282)/(DA282+DB282)</f>
        <v>155323.6157025641</v>
      </c>
      <c r="DK282" s="318"/>
    </row>
    <row r="283" spans="1:115" x14ac:dyDescent="0.25">
      <c r="A283" t="s">
        <v>86</v>
      </c>
      <c r="B283" t="s">
        <v>87</v>
      </c>
      <c r="D283" t="s">
        <v>88</v>
      </c>
      <c r="E283" t="s">
        <v>80</v>
      </c>
      <c r="F283">
        <v>76116</v>
      </c>
      <c r="G283" t="s">
        <v>62</v>
      </c>
      <c r="I283">
        <v>5</v>
      </c>
      <c r="J283" t="s">
        <v>89</v>
      </c>
      <c r="K283" t="s">
        <v>4133</v>
      </c>
      <c r="L283" t="s">
        <v>90</v>
      </c>
      <c r="M283">
        <v>8</v>
      </c>
      <c r="N283" t="s">
        <v>91</v>
      </c>
      <c r="O283" t="s">
        <v>92</v>
      </c>
      <c r="Q283" t="s">
        <v>93</v>
      </c>
      <c r="R283" t="s">
        <v>88</v>
      </c>
      <c r="S283" t="s">
        <v>94</v>
      </c>
      <c r="T283" t="s">
        <v>95</v>
      </c>
      <c r="U283" t="s">
        <v>62</v>
      </c>
      <c r="V283">
        <v>8175604064</v>
      </c>
      <c r="X283">
        <v>2</v>
      </c>
      <c r="Y283">
        <v>0</v>
      </c>
      <c r="AA283" t="s">
        <v>96</v>
      </c>
      <c r="AB283" t="s">
        <v>97</v>
      </c>
      <c r="AC283" t="s">
        <v>98</v>
      </c>
      <c r="AD283" t="s">
        <v>99</v>
      </c>
      <c r="AE283">
        <v>1311</v>
      </c>
      <c r="AF283" t="s">
        <v>100</v>
      </c>
      <c r="AG283">
        <v>6211</v>
      </c>
      <c r="AH283" t="s">
        <v>101</v>
      </c>
      <c r="AI283">
        <v>13110101</v>
      </c>
      <c r="AJ283" t="s">
        <v>102</v>
      </c>
      <c r="AK283">
        <v>62110303</v>
      </c>
      <c r="AL283" t="s">
        <v>103</v>
      </c>
      <c r="AM283">
        <v>211120</v>
      </c>
      <c r="AN283" t="s">
        <v>104</v>
      </c>
      <c r="AO283">
        <v>523999</v>
      </c>
      <c r="AP283" t="s">
        <v>105</v>
      </c>
      <c r="AQ283" t="s">
        <v>75</v>
      </c>
      <c r="AR283" t="s">
        <v>106</v>
      </c>
      <c r="AS283" t="s">
        <v>92</v>
      </c>
      <c r="AT283" t="s">
        <v>76</v>
      </c>
      <c r="AU283" t="s">
        <v>107</v>
      </c>
      <c r="AV283" t="s">
        <v>62</v>
      </c>
      <c r="AW283" t="s">
        <v>106</v>
      </c>
      <c r="AX283" t="s">
        <v>92</v>
      </c>
      <c r="AY283" t="s">
        <v>107</v>
      </c>
      <c r="AZ283" t="s">
        <v>62</v>
      </c>
      <c r="BB283" t="s">
        <v>106</v>
      </c>
      <c r="BC283" t="s">
        <v>92</v>
      </c>
      <c r="BD283" t="s">
        <v>107</v>
      </c>
      <c r="BE283" t="s">
        <v>62</v>
      </c>
      <c r="BF283">
        <v>1</v>
      </c>
      <c r="BG283">
        <v>2</v>
      </c>
      <c r="BH283" s="4" t="s">
        <v>106</v>
      </c>
      <c r="BI283" s="4" t="s">
        <v>92</v>
      </c>
      <c r="BK283" s="4" t="s">
        <v>4257</v>
      </c>
      <c r="BL283" s="4" t="s">
        <v>4258</v>
      </c>
      <c r="BM283" s="4" t="s">
        <v>4109</v>
      </c>
      <c r="BN283" s="4" t="s">
        <v>4259</v>
      </c>
      <c r="BO283" s="4" t="s">
        <v>62</v>
      </c>
      <c r="BP283" s="4">
        <v>6512276675</v>
      </c>
      <c r="BQ283" s="5">
        <v>556140</v>
      </c>
      <c r="BR283" s="4">
        <v>2</v>
      </c>
      <c r="BS283" s="4">
        <v>4</v>
      </c>
      <c r="BT283" s="4">
        <v>1965</v>
      </c>
      <c r="BU283" s="4" t="s">
        <v>163</v>
      </c>
      <c r="BV283" s="4" t="s">
        <v>4260</v>
      </c>
      <c r="BW283" s="4" t="s">
        <v>98</v>
      </c>
      <c r="BX283" s="4" t="s">
        <v>99</v>
      </c>
      <c r="BY283" s="4">
        <v>1311</v>
      </c>
      <c r="BZ283" s="4" t="s">
        <v>100</v>
      </c>
      <c r="CA283" s="4">
        <v>6211</v>
      </c>
      <c r="CB283" s="4" t="s">
        <v>101</v>
      </c>
      <c r="CC283" s="4">
        <v>13110101</v>
      </c>
      <c r="CD283" s="4" t="s">
        <v>102</v>
      </c>
      <c r="CE283" s="4">
        <v>62110303</v>
      </c>
      <c r="CF283" s="4" t="s">
        <v>103</v>
      </c>
      <c r="CG283" s="4">
        <v>211120</v>
      </c>
      <c r="CH283" s="4" t="s">
        <v>104</v>
      </c>
      <c r="CI283" s="4">
        <v>523999</v>
      </c>
      <c r="CJ283" s="4" t="s">
        <v>105</v>
      </c>
      <c r="CK283" s="19">
        <f>IF(BQ283&gt;0,BQ283,W283)</f>
        <v>556140</v>
      </c>
      <c r="CL283" s="20">
        <f>IF(BS283&gt;0,BS283,Y283)</f>
        <v>4</v>
      </c>
      <c r="CM283" s="34">
        <f>IF(CG283&gt;0,CG283,AM283)</f>
        <v>211120</v>
      </c>
      <c r="CN283" s="80">
        <f>IF($BH283="",1,COUNTIF($BH$3:$BH283,$BH283))</f>
        <v>1</v>
      </c>
      <c r="CP283" t="str">
        <f>IF($K283="Standard Match","Match",IF($K283="Name Only Match",IF($CO283="Yes","Match","Name Only Match"),"No Match"))</f>
        <v>Match</v>
      </c>
      <c r="CQ283" s="35" t="str">
        <f>IF(AND(CP283="Match",CK283&gt;0,CL283&gt;0),"Y","N")</f>
        <v>Y</v>
      </c>
      <c r="CS283" t="str">
        <f>IF($CQ283="Y",VLOOKUP($CM283,'SBA Size Standards'!$B$3:$G$57,MATCH('SBA Size Standards'!$G$3,'SBA Size Standards'!$B$3:$G$3,0),FALSE),"")</f>
        <v>Employment</v>
      </c>
      <c r="CT283" s="60" t="str">
        <f>IF(CQ283="Y",IF($CS283="Employment","N/A",VLOOKUP($CM283,'SBA Size Standards'!$B$3:$G$57,MATCH('SBA Size Standards'!$E$3,'SBA Size Standards'!$B$3:$G$3,0),FALSE)),"")</f>
        <v>N/A</v>
      </c>
      <c r="CU283" s="86">
        <f>IF($CQ283="Y",IF($CS283="Revenue","N/A",VLOOKUP($CM283,'SBA Size Standards'!$B$3:$G$57,MATCH('SBA Size Standards'!$F$3,'SBA Size Standards'!$B$3:$G$3,0),FALSE)),"")</f>
        <v>1250</v>
      </c>
      <c r="CV283" t="str">
        <f>IF($CQ283="Y",IF(OR(AND($CS283="Employment",$CL283&lt;$CU283),AND($CS283="Revenue",$CK283&lt;$CT283)),"YES","NO"),"")</f>
        <v>YES</v>
      </c>
      <c r="CW283" s="90" t="str">
        <f>IF($CQ283="Y",INDEX('SBA Size Standards'!$N$3:$N$12,MATCH($CK283,'SBA Size Standards'!$O$3:$O$12,1)),"")</f>
        <v>$500,001 - $1,000,000</v>
      </c>
      <c r="CX283" s="122" t="s">
        <v>4800</v>
      </c>
      <c r="CY283" s="122">
        <f>INDEX('NM O&amp;G Production'!$P$3:$P$537,MATCH(CX283,'NM O&amp;G Production'!$Q$3:$Q$537,0))</f>
        <v>5</v>
      </c>
      <c r="CZ283" s="122" t="str">
        <f>INDEX('NM O&amp;G Production'!$O$3:$O$537,MATCH(CY283,'NM O&amp;G Production'!$P$3:$P$537,0))</f>
        <v>Yes</v>
      </c>
      <c r="DA283" s="127">
        <f>INDEX('NM O&amp;G Production'!$K$3:$O$537,MATCH($CY283,'NM O&amp;G Production'!$P$3:$P$537,0),MATCH(DA$2,'NM O&amp;G Production'!$K$2:$O$2,0))</f>
        <v>0</v>
      </c>
      <c r="DB283" s="127">
        <f>INDEX('NM O&amp;G Production'!$K$3:$O$537,MATCH($CY283,'NM O&amp;G Production'!$P$3:$P$537,0),MATCH(DB$2,'NM O&amp;G Production'!$K$2:$O$2,0))</f>
        <v>2</v>
      </c>
      <c r="DC283" s="127">
        <f>DA283+DB283</f>
        <v>2</v>
      </c>
      <c r="DD283" s="127">
        <f>INDEX('NM O&amp;G Production'!$K$3:$O$537,MATCH($CY283,'NM O&amp;G Production'!$P$3:$P$537,0),MATCH(DD$2,'NM O&amp;G Production'!$K$2:$O$2,0))</f>
        <v>9001</v>
      </c>
      <c r="DE283" s="127">
        <f>INDEX('NM O&amp;G Production'!$K$3:$O$537,MATCH($CY283,'NM O&amp;G Production'!$P$3:$P$537,0),MATCH(DE$2,'NM O&amp;G Production'!$K$2:$O$2,0))</f>
        <v>1826</v>
      </c>
      <c r="DF283" s="258">
        <f>CK283/(DB283+DA283)</f>
        <v>278070</v>
      </c>
      <c r="DG283" s="57">
        <f>DD283*(12/18)*1.06*'Oil and Gas Prices'!$C$18</f>
        <v>15202.088933333333</v>
      </c>
      <c r="DH283" s="284">
        <f>DE283*(12/18)*'Oil and Gas Prices'!$C$4</f>
        <v>54780</v>
      </c>
      <c r="DI283" s="284">
        <f>DG283+DH283</f>
        <v>69982.088933333333</v>
      </c>
      <c r="DJ283" s="57">
        <f>(DG283+DH283)/(DA283+DB283)</f>
        <v>34991.044466666666</v>
      </c>
      <c r="DK283" s="319"/>
    </row>
    <row r="284" spans="1:115" x14ac:dyDescent="0.25">
      <c r="A284" s="21" t="s">
        <v>340</v>
      </c>
      <c r="B284" s="21" t="s">
        <v>341</v>
      </c>
      <c r="C284" s="21"/>
      <c r="D284" s="21" t="s">
        <v>88</v>
      </c>
      <c r="E284" s="21" t="s">
        <v>80</v>
      </c>
      <c r="F284">
        <v>76107</v>
      </c>
      <c r="G284" t="s">
        <v>62</v>
      </c>
      <c r="I284">
        <v>37</v>
      </c>
      <c r="J284" t="s">
        <v>63</v>
      </c>
      <c r="K284" t="s">
        <v>4134</v>
      </c>
      <c r="L284" t="s">
        <v>3627</v>
      </c>
      <c r="M284">
        <v>8</v>
      </c>
      <c r="N284" t="s">
        <v>3763</v>
      </c>
      <c r="O284" s="21" t="s">
        <v>3764</v>
      </c>
      <c r="P284" s="21"/>
      <c r="Q284" s="21" t="s">
        <v>3765</v>
      </c>
      <c r="R284" s="21" t="s">
        <v>153</v>
      </c>
      <c r="S284" s="21" t="s">
        <v>94</v>
      </c>
      <c r="T284" t="s">
        <v>3766</v>
      </c>
      <c r="U284" t="s">
        <v>62</v>
      </c>
      <c r="V284">
        <v>4322420050</v>
      </c>
      <c r="W284" s="23">
        <v>554701</v>
      </c>
      <c r="X284" s="21">
        <v>8</v>
      </c>
      <c r="Y284" s="21">
        <v>8</v>
      </c>
      <c r="Z284">
        <v>2014</v>
      </c>
      <c r="AA284" s="21" t="s">
        <v>70</v>
      </c>
      <c r="AB284" t="s">
        <v>3767</v>
      </c>
      <c r="AC284" t="s">
        <v>133</v>
      </c>
      <c r="AD284" s="21" t="s">
        <v>119</v>
      </c>
      <c r="AE284">
        <v>1382</v>
      </c>
      <c r="AF284" t="s">
        <v>120</v>
      </c>
      <c r="AG284">
        <v>1389</v>
      </c>
      <c r="AH284" t="s">
        <v>72</v>
      </c>
      <c r="AI284">
        <v>13820000</v>
      </c>
      <c r="AJ284" t="s">
        <v>119</v>
      </c>
      <c r="AK284">
        <v>13899901</v>
      </c>
      <c r="AL284" t="s">
        <v>1705</v>
      </c>
      <c r="AM284" s="21">
        <v>213112</v>
      </c>
      <c r="AN284" s="21" t="s">
        <v>74</v>
      </c>
      <c r="AO284" s="21">
        <v>213112</v>
      </c>
      <c r="AP284" s="21" t="s">
        <v>74</v>
      </c>
      <c r="AQ284" s="21" t="s">
        <v>75</v>
      </c>
      <c r="AT284" t="s">
        <v>76</v>
      </c>
      <c r="BF284">
        <v>0</v>
      </c>
      <c r="BG284" s="24">
        <v>0</v>
      </c>
      <c r="BH284" s="24"/>
      <c r="BI284" s="24"/>
      <c r="BJ284" s="24"/>
      <c r="BK284" s="24"/>
      <c r="BL284" s="24"/>
      <c r="BM284" s="24"/>
      <c r="BN284" s="24"/>
      <c r="BO284" s="24"/>
      <c r="BQ284" s="24"/>
      <c r="BR284" s="24"/>
      <c r="BS284" s="24"/>
      <c r="BU284" s="24"/>
      <c r="BX284" s="24"/>
      <c r="CG284" s="24"/>
      <c r="CH284" s="24"/>
      <c r="CI284" s="24"/>
      <c r="CJ284" s="24"/>
      <c r="CK284" s="19">
        <f>IF(BQ284&gt;0,BQ284,W284)</f>
        <v>554701</v>
      </c>
      <c r="CL284" s="20">
        <f>IF(BS284&gt;0,BS284,Y284)</f>
        <v>8</v>
      </c>
      <c r="CM284" s="34">
        <f>IF(CG284&gt;0,CG284,AM284)</f>
        <v>213112</v>
      </c>
      <c r="CN284" s="80">
        <f>IF($BH284="",1,COUNTIF($BH$3:$BH284,$BH284))</f>
        <v>1</v>
      </c>
      <c r="CO284" s="33" t="s">
        <v>4386</v>
      </c>
      <c r="CP284" t="str">
        <f>IF($K284="Standard Match","Match",IF($K284="Name Only Match",IF($CO284="Yes","Match","Name Only Match"),"No Match"))</f>
        <v>Match</v>
      </c>
      <c r="CQ284" s="35" t="str">
        <f>IF(AND(CP284="Match",CK284&gt;0,CL284&gt;0),"Y","N")</f>
        <v>Y</v>
      </c>
      <c r="CR284" s="21"/>
      <c r="CS284" t="str">
        <f>IF($CQ284="Y",VLOOKUP($CM284,'SBA Size Standards'!$B$3:$G$57,MATCH('SBA Size Standards'!$G$3,'SBA Size Standards'!$B$3:$G$3,0),FALSE),"")</f>
        <v>Revenue</v>
      </c>
      <c r="CT284" s="60">
        <f>IF(CQ284="Y",IF($CS284="Employment","N/A",VLOOKUP($CM284,'SBA Size Standards'!$B$3:$G$57,MATCH('SBA Size Standards'!$E$3,'SBA Size Standards'!$B$3:$G$3,0),FALSE)),"")</f>
        <v>41500000</v>
      </c>
      <c r="CU284" s="86" t="str">
        <f>IF($CQ284="Y",IF($CS284="Revenue","N/A",VLOOKUP($CM284,'SBA Size Standards'!$B$3:$G$57,MATCH('SBA Size Standards'!$F$3,'SBA Size Standards'!$B$3:$G$3,0),FALSE)),"")</f>
        <v>N/A</v>
      </c>
      <c r="CV284" t="str">
        <f>IF($CQ284="Y",IF(OR(AND($CS284="Employment",$CL284&lt;$CU284),AND($CS284="Revenue",$CK284&lt;$CT284)),"YES","NO"),"")</f>
        <v>YES</v>
      </c>
      <c r="CW284" s="90" t="str">
        <f>IF($CQ284="Y",INDEX('SBA Size Standards'!$N$3:$N$12,MATCH($CK284,'SBA Size Standards'!$O$3:$O$12,1)),"")</f>
        <v>$500,001 - $1,000,000</v>
      </c>
      <c r="CX284" s="122" t="s">
        <v>4936</v>
      </c>
      <c r="CY284" s="122">
        <f>INDEX('NM O&amp;G Production'!$P$3:$P$537,MATCH(CX284,'NM O&amp;G Production'!$Q$3:$Q$537,0))</f>
        <v>37</v>
      </c>
      <c r="CZ284" s="122" t="str">
        <f>INDEX('NM O&amp;G Production'!$O$3:$O$537,MATCH(CY284,'NM O&amp;G Production'!$P$3:$P$537,0))</f>
        <v>Yes</v>
      </c>
      <c r="DA284" s="127">
        <f>INDEX('NM O&amp;G Production'!$K$3:$O$537,MATCH($CY284,'NM O&amp;G Production'!$P$3:$P$537,0),MATCH(DA$2,'NM O&amp;G Production'!$K$2:$O$2,0))</f>
        <v>26</v>
      </c>
      <c r="DB284" s="127">
        <f>INDEX('NM O&amp;G Production'!$K$3:$O$537,MATCH($CY284,'NM O&amp;G Production'!$P$3:$P$537,0),MATCH(DB$2,'NM O&amp;G Production'!$K$2:$O$2,0))</f>
        <v>126</v>
      </c>
      <c r="DC284" s="127">
        <f>DA284+DB284</f>
        <v>152</v>
      </c>
      <c r="DD284" s="127">
        <f>INDEX('NM O&amp;G Production'!$K$3:$O$537,MATCH($CY284,'NM O&amp;G Production'!$P$3:$P$537,0),MATCH(DD$2,'NM O&amp;G Production'!$K$2:$O$2,0))</f>
        <v>1080900</v>
      </c>
      <c r="DE284" s="127">
        <f>INDEX('NM O&amp;G Production'!$K$3:$O$537,MATCH($CY284,'NM O&amp;G Production'!$P$3:$P$537,0),MATCH(DE$2,'NM O&amp;G Production'!$K$2:$O$2,0))</f>
        <v>64099</v>
      </c>
      <c r="DF284" s="258">
        <f>CK284/(DB284+DA284)</f>
        <v>3649.3486842105262</v>
      </c>
      <c r="DG284" s="57">
        <f>DD284*(12/18)*1.06*'Oil and Gas Prices'!$C$18</f>
        <v>1825568.04</v>
      </c>
      <c r="DH284" s="284">
        <f>DE284*(12/18)*'Oil and Gas Prices'!$C$4</f>
        <v>1922970</v>
      </c>
      <c r="DI284" s="284">
        <f>DG284+DH284</f>
        <v>3748538.04</v>
      </c>
      <c r="DJ284" s="57">
        <f>(DG284+DH284)/(DA284+DB284)</f>
        <v>24661.43447368421</v>
      </c>
      <c r="DK284" s="318"/>
    </row>
    <row r="285" spans="1:115" x14ac:dyDescent="0.25">
      <c r="A285" t="s">
        <v>2099</v>
      </c>
      <c r="B285" t="s">
        <v>2100</v>
      </c>
      <c r="D285" t="s">
        <v>153</v>
      </c>
      <c r="E285" t="s">
        <v>80</v>
      </c>
      <c r="F285">
        <v>79701</v>
      </c>
      <c r="G285" t="s">
        <v>62</v>
      </c>
      <c r="I285">
        <v>297</v>
      </c>
      <c r="J285" t="s">
        <v>63</v>
      </c>
      <c r="K285" t="s">
        <v>4133</v>
      </c>
      <c r="L285" t="s">
        <v>64</v>
      </c>
      <c r="M285">
        <v>10</v>
      </c>
      <c r="N285" t="s">
        <v>2101</v>
      </c>
      <c r="O285" t="s">
        <v>2102</v>
      </c>
      <c r="Q285" t="s">
        <v>2103</v>
      </c>
      <c r="R285" t="s">
        <v>153</v>
      </c>
      <c r="S285" t="s">
        <v>94</v>
      </c>
      <c r="T285" t="s">
        <v>2104</v>
      </c>
      <c r="U285" t="s">
        <v>62</v>
      </c>
      <c r="V285">
        <v>4326823499</v>
      </c>
      <c r="W285" s="1">
        <v>554605</v>
      </c>
      <c r="X285">
        <v>2</v>
      </c>
      <c r="Y285">
        <v>2</v>
      </c>
      <c r="Z285">
        <v>1990</v>
      </c>
      <c r="AA285" t="s">
        <v>70</v>
      </c>
      <c r="AB285" t="s">
        <v>2105</v>
      </c>
      <c r="AC285" t="s">
        <v>98</v>
      </c>
      <c r="AD285" t="s">
        <v>99</v>
      </c>
      <c r="AE285">
        <v>1311</v>
      </c>
      <c r="AF285" t="s">
        <v>100</v>
      </c>
      <c r="AI285">
        <v>13110101</v>
      </c>
      <c r="AJ285" t="s">
        <v>102</v>
      </c>
      <c r="AM285">
        <v>211120</v>
      </c>
      <c r="AN285" t="s">
        <v>104</v>
      </c>
      <c r="AQ285" t="s">
        <v>75</v>
      </c>
      <c r="AT285" t="s">
        <v>76</v>
      </c>
      <c r="BF285">
        <v>0</v>
      </c>
      <c r="BG285">
        <v>0</v>
      </c>
      <c r="CK285" s="19">
        <f>IF(BQ285&gt;0,BQ285,W285)</f>
        <v>554605</v>
      </c>
      <c r="CL285" s="20">
        <f>IF(BS285&gt;0,BS285,Y285)</f>
        <v>2</v>
      </c>
      <c r="CM285" s="34">
        <f>IF(CG285&gt;0,CG285,AM285)</f>
        <v>211120</v>
      </c>
      <c r="CN285" s="80">
        <f>IF($BH285="",1,COUNTIF($BH$3:$BH285,$BH285))</f>
        <v>1</v>
      </c>
      <c r="CP285" t="str">
        <f>IF($K285="Standard Match","Match",IF($K285="Name Only Match",IF($CO285="Yes","Match","Name Only Match"),"No Match"))</f>
        <v>Match</v>
      </c>
      <c r="CQ285" s="35" t="str">
        <f>IF(AND(CP285="Match",CK285&gt;0,CL285&gt;0),"Y","N")</f>
        <v>Y</v>
      </c>
      <c r="CS285" t="str">
        <f>IF($CQ285="Y",VLOOKUP($CM285,'SBA Size Standards'!$B$3:$G$57,MATCH('SBA Size Standards'!$G$3,'SBA Size Standards'!$B$3:$G$3,0),FALSE),"")</f>
        <v>Employment</v>
      </c>
      <c r="CT285" s="60" t="str">
        <f>IF(CQ285="Y",IF($CS285="Employment","N/A",VLOOKUP($CM285,'SBA Size Standards'!$B$3:$G$57,MATCH('SBA Size Standards'!$E$3,'SBA Size Standards'!$B$3:$G$3,0),FALSE)),"")</f>
        <v>N/A</v>
      </c>
      <c r="CU285" s="86">
        <f>IF($CQ285="Y",IF($CS285="Revenue","N/A",VLOOKUP($CM285,'SBA Size Standards'!$B$3:$G$57,MATCH('SBA Size Standards'!$F$3,'SBA Size Standards'!$B$3:$G$3,0),FALSE)),"")</f>
        <v>1250</v>
      </c>
      <c r="CV285" t="str">
        <f>IF($CQ285="Y",IF(OR(AND($CS285="Employment",$CL285&lt;$CU285),AND($CS285="Revenue",$CK285&lt;$CT285)),"YES","NO"),"")</f>
        <v>YES</v>
      </c>
      <c r="CW285" s="90" t="str">
        <f>IF($CQ285="Y",INDEX('SBA Size Standards'!$N$3:$N$12,MATCH($CK285,'SBA Size Standards'!$O$3:$O$12,1)),"")</f>
        <v>$500,001 - $1,000,000</v>
      </c>
      <c r="CX285" s="122" t="s">
        <v>4674</v>
      </c>
      <c r="CY285" s="122">
        <f>INDEX('NM O&amp;G Production'!$P$3:$P$537,MATCH(CX285,'NM O&amp;G Production'!$Q$3:$Q$537,0))</f>
        <v>297</v>
      </c>
      <c r="CZ285" s="122" t="str">
        <f>INDEX('NM O&amp;G Production'!$O$3:$O$537,MATCH(CY285,'NM O&amp;G Production'!$P$3:$P$537,0))</f>
        <v>Yes</v>
      </c>
      <c r="DA285" s="127">
        <f>INDEX('NM O&amp;G Production'!$K$3:$O$537,MATCH($CY285,'NM O&amp;G Production'!$P$3:$P$537,0),MATCH(DA$2,'NM O&amp;G Production'!$K$2:$O$2,0))</f>
        <v>0</v>
      </c>
      <c r="DB285" s="127">
        <f>INDEX('NM O&amp;G Production'!$K$3:$O$537,MATCH($CY285,'NM O&amp;G Production'!$P$3:$P$537,0),MATCH(DB$2,'NM O&amp;G Production'!$K$2:$O$2,0))</f>
        <v>16</v>
      </c>
      <c r="DC285" s="127">
        <f>DA285+DB285</f>
        <v>16</v>
      </c>
      <c r="DD285" s="127">
        <f>INDEX('NM O&amp;G Production'!$K$3:$O$537,MATCH($CY285,'NM O&amp;G Production'!$P$3:$P$537,0),MATCH(DD$2,'NM O&amp;G Production'!$K$2:$O$2,0))</f>
        <v>4434</v>
      </c>
      <c r="DE285" s="127">
        <f>INDEX('NM O&amp;G Production'!$K$3:$O$537,MATCH($CY285,'NM O&amp;G Production'!$P$3:$P$537,0),MATCH(DE$2,'NM O&amp;G Production'!$K$2:$O$2,0))</f>
        <v>67</v>
      </c>
      <c r="DF285" s="258">
        <f>CK285/(DB285+DA285)</f>
        <v>34662.8125</v>
      </c>
      <c r="DG285" s="57">
        <f>DD285*(12/18)*1.06*'Oil and Gas Prices'!$C$18</f>
        <v>7488.7304000000004</v>
      </c>
      <c r="DH285" s="284">
        <f>DE285*(12/18)*'Oil and Gas Prices'!$C$4</f>
        <v>2010</v>
      </c>
      <c r="DI285" s="284">
        <f>DG285+DH285</f>
        <v>9498.7304000000004</v>
      </c>
      <c r="DJ285" s="57">
        <f>(DG285+DH285)/(DA285+DB285)</f>
        <v>593.67065000000002</v>
      </c>
      <c r="DK285" s="318"/>
    </row>
    <row r="286" spans="1:115" x14ac:dyDescent="0.25">
      <c r="A286" t="s">
        <v>1113</v>
      </c>
      <c r="B286" t="s">
        <v>1114</v>
      </c>
      <c r="D286" t="s">
        <v>161</v>
      </c>
      <c r="E286" t="s">
        <v>80</v>
      </c>
      <c r="F286">
        <v>77396</v>
      </c>
      <c r="G286" t="s">
        <v>62</v>
      </c>
      <c r="I286">
        <v>146</v>
      </c>
      <c r="J286" t="s">
        <v>63</v>
      </c>
      <c r="K286" t="s">
        <v>4133</v>
      </c>
      <c r="L286" t="s">
        <v>64</v>
      </c>
      <c r="M286">
        <v>10</v>
      </c>
      <c r="N286" t="s">
        <v>1115</v>
      </c>
      <c r="O286" t="s">
        <v>1116</v>
      </c>
      <c r="Q286" t="s">
        <v>1117</v>
      </c>
      <c r="R286" t="s">
        <v>161</v>
      </c>
      <c r="S286" t="s">
        <v>94</v>
      </c>
      <c r="T286" t="s">
        <v>1118</v>
      </c>
      <c r="U286" t="s">
        <v>62</v>
      </c>
      <c r="V286">
        <v>2818756200</v>
      </c>
      <c r="W286" s="1">
        <v>552251</v>
      </c>
      <c r="X286">
        <v>5</v>
      </c>
      <c r="Y286">
        <v>5</v>
      </c>
      <c r="Z286">
        <v>2007</v>
      </c>
      <c r="AA286" t="s">
        <v>70</v>
      </c>
      <c r="AB286" t="s">
        <v>1119</v>
      </c>
      <c r="AC286" t="s">
        <v>145</v>
      </c>
      <c r="AD286" t="s">
        <v>119</v>
      </c>
      <c r="AE286">
        <v>1382</v>
      </c>
      <c r="AF286" t="s">
        <v>120</v>
      </c>
      <c r="AI286">
        <v>13820000</v>
      </c>
      <c r="AJ286" t="s">
        <v>119</v>
      </c>
      <c r="AM286">
        <v>213112</v>
      </c>
      <c r="AN286" t="s">
        <v>74</v>
      </c>
      <c r="AQ286" t="s">
        <v>75</v>
      </c>
      <c r="AT286" t="s">
        <v>76</v>
      </c>
      <c r="BF286">
        <v>0</v>
      </c>
      <c r="BG286">
        <v>0</v>
      </c>
      <c r="CK286" s="19">
        <f>IF(BQ286&gt;0,BQ286,W286)</f>
        <v>552251</v>
      </c>
      <c r="CL286" s="20">
        <f>IF(BS286&gt;0,BS286,Y286)</f>
        <v>5</v>
      </c>
      <c r="CM286" s="34">
        <f>IF(CG286&gt;0,CG286,AM286)</f>
        <v>213112</v>
      </c>
      <c r="CN286" s="80">
        <f>IF($BH286="",1,COUNTIF($BH$3:$BH286,$BH286))</f>
        <v>1</v>
      </c>
      <c r="CP286" t="str">
        <f>IF($K286="Standard Match","Match",IF($K286="Name Only Match",IF($CO286="Yes","Match","Name Only Match"),"No Match"))</f>
        <v>Match</v>
      </c>
      <c r="CQ286" s="35" t="str">
        <f>IF(AND(CP286="Match",CK286&gt;0,CL286&gt;0),"Y","N")</f>
        <v>Y</v>
      </c>
      <c r="CS286" t="str">
        <f>IF($CQ286="Y",VLOOKUP($CM286,'SBA Size Standards'!$B$3:$G$57,MATCH('SBA Size Standards'!$G$3,'SBA Size Standards'!$B$3:$G$3,0),FALSE),"")</f>
        <v>Revenue</v>
      </c>
      <c r="CT286" s="60">
        <f>IF(CQ286="Y",IF($CS286="Employment","N/A",VLOOKUP($CM286,'SBA Size Standards'!$B$3:$G$57,MATCH('SBA Size Standards'!$E$3,'SBA Size Standards'!$B$3:$G$3,0),FALSE)),"")</f>
        <v>41500000</v>
      </c>
      <c r="CU286" s="86" t="str">
        <f>IF($CQ286="Y",IF($CS286="Revenue","N/A",VLOOKUP($CM286,'SBA Size Standards'!$B$3:$G$57,MATCH('SBA Size Standards'!$F$3,'SBA Size Standards'!$B$3:$G$3,0),FALSE)),"")</f>
        <v>N/A</v>
      </c>
      <c r="CV286" t="str">
        <f>IF($CQ286="Y",IF(OR(AND($CS286="Employment",$CL286&lt;$CU286),AND($CS286="Revenue",$CK286&lt;$CT286)),"YES","NO"),"")</f>
        <v>YES</v>
      </c>
      <c r="CW286" s="90" t="str">
        <f>IF($CQ286="Y",INDEX('SBA Size Standards'!$N$3:$N$12,MATCH($CK286,'SBA Size Standards'!$O$3:$O$12,1)),"")</f>
        <v>$500,001 - $1,000,000</v>
      </c>
      <c r="CX286" s="122" t="s">
        <v>4601</v>
      </c>
      <c r="CY286" s="122">
        <f>INDEX('NM O&amp;G Production'!$P$3:$P$537,MATCH(CX286,'NM O&amp;G Production'!$Q$3:$Q$537,0))</f>
        <v>146</v>
      </c>
      <c r="CZ286" s="122" t="str">
        <f>INDEX('NM O&amp;G Production'!$O$3:$O$537,MATCH(CY286,'NM O&amp;G Production'!$P$3:$P$537,0))</f>
        <v>Yes</v>
      </c>
      <c r="DA286" s="127">
        <f>INDEX('NM O&amp;G Production'!$K$3:$O$537,MATCH($CY286,'NM O&amp;G Production'!$P$3:$P$537,0),MATCH(DA$2,'NM O&amp;G Production'!$K$2:$O$2,0))</f>
        <v>1</v>
      </c>
      <c r="DB286" s="127">
        <f>INDEX('NM O&amp;G Production'!$K$3:$O$537,MATCH($CY286,'NM O&amp;G Production'!$P$3:$P$537,0),MATCH(DB$2,'NM O&amp;G Production'!$K$2:$O$2,0))</f>
        <v>0</v>
      </c>
      <c r="DC286" s="127">
        <f>DA286+DB286</f>
        <v>1</v>
      </c>
      <c r="DD286" s="127">
        <f>INDEX('NM O&amp;G Production'!$K$3:$O$537,MATCH($CY286,'NM O&amp;G Production'!$P$3:$P$537,0),MATCH(DD$2,'NM O&amp;G Production'!$K$2:$O$2,0))</f>
        <v>0</v>
      </c>
      <c r="DE286" s="127">
        <f>INDEX('NM O&amp;G Production'!$K$3:$O$537,MATCH($CY286,'NM O&amp;G Production'!$P$3:$P$537,0),MATCH(DE$2,'NM O&amp;G Production'!$K$2:$O$2,0))</f>
        <v>14</v>
      </c>
      <c r="DF286" s="258">
        <f>CK286/(DB286+DA286)</f>
        <v>552251</v>
      </c>
      <c r="DG286" s="57">
        <f>DD286*(12/18)*1.06*'Oil and Gas Prices'!$C$18</f>
        <v>0</v>
      </c>
      <c r="DH286" s="284">
        <f>DE286*(12/18)*'Oil and Gas Prices'!$C$4</f>
        <v>419.99999999999994</v>
      </c>
      <c r="DI286" s="284">
        <f>DG286+DH286</f>
        <v>419.99999999999994</v>
      </c>
      <c r="DJ286" s="57">
        <f>(DG286+DH286)/(DA286+DB286)</f>
        <v>419.99999999999994</v>
      </c>
      <c r="DK286" s="319"/>
    </row>
    <row r="287" spans="1:115" x14ac:dyDescent="0.25">
      <c r="A287" t="s">
        <v>3206</v>
      </c>
      <c r="B287" t="s">
        <v>3207</v>
      </c>
      <c r="D287" t="s">
        <v>112</v>
      </c>
      <c r="E287" t="s">
        <v>80</v>
      </c>
      <c r="F287">
        <v>77056</v>
      </c>
      <c r="G287" t="s">
        <v>62</v>
      </c>
      <c r="I287">
        <v>471</v>
      </c>
      <c r="J287" t="s">
        <v>63</v>
      </c>
      <c r="K287" t="s">
        <v>4133</v>
      </c>
      <c r="L287" t="s">
        <v>113</v>
      </c>
      <c r="M287">
        <v>8</v>
      </c>
      <c r="N287" t="s">
        <v>3208</v>
      </c>
      <c r="O287" t="s">
        <v>3209</v>
      </c>
      <c r="Q287" t="s">
        <v>3210</v>
      </c>
      <c r="R287" t="s">
        <v>112</v>
      </c>
      <c r="S287" t="s">
        <v>94</v>
      </c>
      <c r="T287" t="s">
        <v>3211</v>
      </c>
      <c r="U287" t="s">
        <v>62</v>
      </c>
      <c r="V287">
        <v>7133647822</v>
      </c>
      <c r="W287" s="1">
        <v>543311</v>
      </c>
      <c r="X287">
        <v>3</v>
      </c>
      <c r="Y287">
        <v>3</v>
      </c>
      <c r="Z287">
        <v>2008</v>
      </c>
      <c r="AA287" t="s">
        <v>70</v>
      </c>
      <c r="AD287" t="s">
        <v>119</v>
      </c>
      <c r="AE287">
        <v>1382</v>
      </c>
      <c r="AF287" t="s">
        <v>120</v>
      </c>
      <c r="AI287">
        <v>13820000</v>
      </c>
      <c r="AJ287" t="s">
        <v>119</v>
      </c>
      <c r="AM287">
        <v>213112</v>
      </c>
      <c r="AN287" t="s">
        <v>74</v>
      </c>
      <c r="AQ287" t="s">
        <v>75</v>
      </c>
      <c r="AT287" t="s">
        <v>76</v>
      </c>
      <c r="BF287">
        <v>0</v>
      </c>
      <c r="BG287">
        <v>0</v>
      </c>
      <c r="CK287" s="19">
        <f>IF(BQ287&gt;0,BQ287,W287)</f>
        <v>543311</v>
      </c>
      <c r="CL287" s="20">
        <f>IF(BS287&gt;0,BS287,Y287)</f>
        <v>3</v>
      </c>
      <c r="CM287" s="34">
        <f>IF(CG287&gt;0,CG287,AM287)</f>
        <v>213112</v>
      </c>
      <c r="CN287" s="80">
        <f>IF($BH287="",1,COUNTIF($BH$3:$BH287,$BH287))</f>
        <v>1</v>
      </c>
      <c r="CP287" t="str">
        <f>IF($K287="Standard Match","Match",IF($K287="Name Only Match",IF($CO287="Yes","Match","Name Only Match"),"No Match"))</f>
        <v>Match</v>
      </c>
      <c r="CQ287" s="35" t="str">
        <f>IF(AND(CP287="Match",CK287&gt;0,CL287&gt;0),"Y","N")</f>
        <v>Y</v>
      </c>
      <c r="CS287" t="str">
        <f>IF($CQ287="Y",VLOOKUP($CM287,'SBA Size Standards'!$B$3:$G$57,MATCH('SBA Size Standards'!$G$3,'SBA Size Standards'!$B$3:$G$3,0),FALSE),"")</f>
        <v>Revenue</v>
      </c>
      <c r="CT287" s="60">
        <f>IF(CQ287="Y",IF($CS287="Employment","N/A",VLOOKUP($CM287,'SBA Size Standards'!$B$3:$G$57,MATCH('SBA Size Standards'!$E$3,'SBA Size Standards'!$B$3:$G$3,0),FALSE)),"")</f>
        <v>41500000</v>
      </c>
      <c r="CU287" s="86" t="str">
        <f>IF($CQ287="Y",IF($CS287="Revenue","N/A",VLOOKUP($CM287,'SBA Size Standards'!$B$3:$G$57,MATCH('SBA Size Standards'!$F$3,'SBA Size Standards'!$B$3:$G$3,0),FALSE)),"")</f>
        <v>N/A</v>
      </c>
      <c r="CV287" t="str">
        <f>IF($CQ287="Y",IF(OR(AND($CS287="Employment",$CL287&lt;$CU287),AND($CS287="Revenue",$CK287&lt;$CT287)),"YES","NO"),"")</f>
        <v>YES</v>
      </c>
      <c r="CW287" s="90" t="str">
        <f>IF($CQ287="Y",INDEX('SBA Size Standards'!$N$3:$N$12,MATCH($CK287,'SBA Size Standards'!$O$3:$O$12,1)),"")</f>
        <v>$500,001 - $1,000,000</v>
      </c>
      <c r="CX287" s="122" t="s">
        <v>4909</v>
      </c>
      <c r="CY287" s="122">
        <f>INDEX('NM O&amp;G Production'!$P$3:$P$537,MATCH(CX287,'NM O&amp;G Production'!$Q$3:$Q$537,0))</f>
        <v>471</v>
      </c>
      <c r="CZ287" s="122" t="str">
        <f>INDEX('NM O&amp;G Production'!$O$3:$O$537,MATCH(CY287,'NM O&amp;G Production'!$P$3:$P$537,0))</f>
        <v>Yes</v>
      </c>
      <c r="DA287" s="127">
        <f>INDEX('NM O&amp;G Production'!$K$3:$O$537,MATCH($CY287,'NM O&amp;G Production'!$P$3:$P$537,0),MATCH(DA$2,'NM O&amp;G Production'!$K$2:$O$2,0))</f>
        <v>0</v>
      </c>
      <c r="DB287" s="127">
        <f>INDEX('NM O&amp;G Production'!$K$3:$O$537,MATCH($CY287,'NM O&amp;G Production'!$P$3:$P$537,0),MATCH(DB$2,'NM O&amp;G Production'!$K$2:$O$2,0))</f>
        <v>145</v>
      </c>
      <c r="DC287" s="127">
        <f>DA287+DB287</f>
        <v>145</v>
      </c>
      <c r="DD287" s="127">
        <f>INDEX('NM O&amp;G Production'!$K$3:$O$537,MATCH($CY287,'NM O&amp;G Production'!$P$3:$P$537,0),MATCH(DD$2,'NM O&amp;G Production'!$K$2:$O$2,0))</f>
        <v>8148</v>
      </c>
      <c r="DE287" s="127">
        <f>INDEX('NM O&amp;G Production'!$K$3:$O$537,MATCH($CY287,'NM O&amp;G Production'!$P$3:$P$537,0),MATCH(DE$2,'NM O&amp;G Production'!$K$2:$O$2,0))</f>
        <v>37211</v>
      </c>
      <c r="DF287" s="258">
        <f>CK287/(DB287+DA287)</f>
        <v>3746.9724137931034</v>
      </c>
      <c r="DG287" s="57">
        <f>DD287*(12/18)*1.06*'Oil and Gas Prices'!$C$18</f>
        <v>13761.428800000002</v>
      </c>
      <c r="DH287" s="284">
        <f>DE287*(12/18)*'Oil and Gas Prices'!$C$4</f>
        <v>1116330</v>
      </c>
      <c r="DI287" s="284">
        <f>DG287+DH287</f>
        <v>1130091.4288000001</v>
      </c>
      <c r="DJ287" s="57">
        <f>(DG287+DH287)/(DA287+DB287)</f>
        <v>7793.7339917241388</v>
      </c>
      <c r="DK287" s="318"/>
    </row>
    <row r="288" spans="1:115" x14ac:dyDescent="0.25">
      <c r="A288" t="s">
        <v>3272</v>
      </c>
      <c r="B288" t="s">
        <v>3273</v>
      </c>
      <c r="D288" t="s">
        <v>3274</v>
      </c>
      <c r="E288" t="s">
        <v>61</v>
      </c>
      <c r="F288">
        <v>80033</v>
      </c>
      <c r="G288" t="s">
        <v>62</v>
      </c>
      <c r="I288">
        <v>482</v>
      </c>
      <c r="J288" t="s">
        <v>63</v>
      </c>
      <c r="K288" t="s">
        <v>4133</v>
      </c>
      <c r="L288" t="s">
        <v>64</v>
      </c>
      <c r="M288">
        <v>10</v>
      </c>
      <c r="N288" t="s">
        <v>3275</v>
      </c>
      <c r="O288" t="s">
        <v>3276</v>
      </c>
      <c r="Q288" t="s">
        <v>3277</v>
      </c>
      <c r="R288" t="s">
        <v>3274</v>
      </c>
      <c r="S288" t="s">
        <v>68</v>
      </c>
      <c r="T288" t="s">
        <v>3278</v>
      </c>
      <c r="U288" t="s">
        <v>62</v>
      </c>
      <c r="V288">
        <v>3033180717</v>
      </c>
      <c r="W288" s="1">
        <v>526259</v>
      </c>
      <c r="X288">
        <v>3</v>
      </c>
      <c r="Y288">
        <v>3</v>
      </c>
      <c r="Z288">
        <v>2010</v>
      </c>
      <c r="AA288" t="s">
        <v>70</v>
      </c>
      <c r="AB288" t="s">
        <v>3279</v>
      </c>
      <c r="AC288" t="s">
        <v>145</v>
      </c>
      <c r="AD288" t="s">
        <v>505</v>
      </c>
      <c r="AE288">
        <v>8742</v>
      </c>
      <c r="AF288" t="s">
        <v>506</v>
      </c>
      <c r="AI288">
        <v>87420500</v>
      </c>
      <c r="AJ288" t="s">
        <v>538</v>
      </c>
      <c r="AM288">
        <v>541611</v>
      </c>
      <c r="AN288" t="s">
        <v>510</v>
      </c>
      <c r="AQ288" t="s">
        <v>75</v>
      </c>
      <c r="AT288" t="s">
        <v>76</v>
      </c>
      <c r="BF288">
        <v>0</v>
      </c>
      <c r="BG288">
        <v>0</v>
      </c>
      <c r="CK288" s="19">
        <f>IF(BQ288&gt;0,BQ288,W288)</f>
        <v>526259</v>
      </c>
      <c r="CL288" s="20">
        <f>IF(BS288&gt;0,BS288,Y288)</f>
        <v>3</v>
      </c>
      <c r="CM288" s="34">
        <f>IF(CG288&gt;0,CG288,AM288)</f>
        <v>541611</v>
      </c>
      <c r="CN288" s="80">
        <f>IF($BH288="",1,COUNTIF($BH$3:$BH288,$BH288))</f>
        <v>1</v>
      </c>
      <c r="CP288" t="str">
        <f>IF($K288="Standard Match","Match",IF($K288="Name Only Match",IF($CO288="Yes","Match","Name Only Match"),"No Match"))</f>
        <v>Match</v>
      </c>
      <c r="CQ288" s="35" t="str">
        <f>IF(AND(CP288="Match",CK288&gt;0,CL288&gt;0),"Y","N")</f>
        <v>Y</v>
      </c>
      <c r="CS288" t="str">
        <f>IF($CQ288="Y",VLOOKUP($CM288,'SBA Size Standards'!$B$3:$G$57,MATCH('SBA Size Standards'!$G$3,'SBA Size Standards'!$B$3:$G$3,0),FALSE),"")</f>
        <v>Revenue</v>
      </c>
      <c r="CT288" s="60">
        <f>IF(CQ288="Y",IF($CS288="Employment","N/A",VLOOKUP($CM288,'SBA Size Standards'!$B$3:$G$57,MATCH('SBA Size Standards'!$E$3,'SBA Size Standards'!$B$3:$G$3,0),FALSE)),"")</f>
        <v>16500000</v>
      </c>
      <c r="CU288" s="86" t="str">
        <f>IF($CQ288="Y",IF($CS288="Revenue","N/A",VLOOKUP($CM288,'SBA Size Standards'!$B$3:$G$57,MATCH('SBA Size Standards'!$F$3,'SBA Size Standards'!$B$3:$G$3,0),FALSE)),"")</f>
        <v>N/A</v>
      </c>
      <c r="CV288" t="str">
        <f>IF($CQ288="Y",IF(OR(AND($CS288="Employment",$CL288&lt;$CU288),AND($CS288="Revenue",$CK288&lt;$CT288)),"YES","NO"),"")</f>
        <v>YES</v>
      </c>
      <c r="CW288" s="90" t="str">
        <f>IF($CQ288="Y",INDEX('SBA Size Standards'!$N$3:$N$12,MATCH($CK288,'SBA Size Standards'!$O$3:$O$12,1)),"")</f>
        <v>$500,001 - $1,000,000</v>
      </c>
      <c r="CX288" s="122" t="s">
        <v>4767</v>
      </c>
      <c r="CY288" s="122">
        <f>INDEX('NM O&amp;G Production'!$P$3:$P$537,MATCH(CX288,'NM O&amp;G Production'!$Q$3:$Q$537,0))</f>
        <v>482</v>
      </c>
      <c r="CZ288" s="122" t="str">
        <f>INDEX('NM O&amp;G Production'!$O$3:$O$537,MATCH(CY288,'NM O&amp;G Production'!$P$3:$P$537,0))</f>
        <v>Yes</v>
      </c>
      <c r="DA288" s="127">
        <f>INDEX('NM O&amp;G Production'!$K$3:$O$537,MATCH($CY288,'NM O&amp;G Production'!$P$3:$P$537,0),MATCH(DA$2,'NM O&amp;G Production'!$K$2:$O$2,0))</f>
        <v>2</v>
      </c>
      <c r="DB288" s="127">
        <f>INDEX('NM O&amp;G Production'!$K$3:$O$537,MATCH($CY288,'NM O&amp;G Production'!$P$3:$P$537,0),MATCH(DB$2,'NM O&amp;G Production'!$K$2:$O$2,0))</f>
        <v>17</v>
      </c>
      <c r="DC288" s="127">
        <f>DA288+DB288</f>
        <v>19</v>
      </c>
      <c r="DD288" s="127">
        <f>INDEX('NM O&amp;G Production'!$K$3:$O$537,MATCH($CY288,'NM O&amp;G Production'!$P$3:$P$537,0),MATCH(DD$2,'NM O&amp;G Production'!$K$2:$O$2,0))</f>
        <v>52936</v>
      </c>
      <c r="DE288" s="127">
        <f>INDEX('NM O&amp;G Production'!$K$3:$O$537,MATCH($CY288,'NM O&amp;G Production'!$P$3:$P$537,0),MATCH(DE$2,'NM O&amp;G Production'!$K$2:$O$2,0))</f>
        <v>30371</v>
      </c>
      <c r="DF288" s="258">
        <f>CK288/(DB288+DA288)</f>
        <v>27697.842105263157</v>
      </c>
      <c r="DG288" s="57">
        <f>DD288*(12/18)*1.06*'Oil and Gas Prices'!$C$18</f>
        <v>89405.37493333334</v>
      </c>
      <c r="DH288" s="284">
        <f>DE288*(12/18)*'Oil and Gas Prices'!$C$4</f>
        <v>911130</v>
      </c>
      <c r="DI288" s="284">
        <f>DG288+DH288</f>
        <v>1000535.3749333334</v>
      </c>
      <c r="DJ288" s="57">
        <f>(DG288+DH288)/(DA288+DB288)</f>
        <v>52659.756575438601</v>
      </c>
      <c r="DK288" s="318"/>
    </row>
    <row r="289" spans="1:115" x14ac:dyDescent="0.25">
      <c r="A289" t="s">
        <v>468</v>
      </c>
      <c r="B289" t="s">
        <v>469</v>
      </c>
      <c r="D289" t="s">
        <v>378</v>
      </c>
      <c r="E289" t="s">
        <v>80</v>
      </c>
      <c r="F289">
        <v>75209</v>
      </c>
      <c r="G289" t="s">
        <v>62</v>
      </c>
      <c r="I289">
        <v>58</v>
      </c>
      <c r="J289" t="s">
        <v>63</v>
      </c>
      <c r="K289" t="s">
        <v>4133</v>
      </c>
      <c r="L289" t="s">
        <v>279</v>
      </c>
      <c r="M289">
        <v>8</v>
      </c>
      <c r="N289" t="s">
        <v>470</v>
      </c>
      <c r="O289" t="s">
        <v>471</v>
      </c>
      <c r="P289" t="s">
        <v>472</v>
      </c>
      <c r="Q289" t="s">
        <v>473</v>
      </c>
      <c r="R289" t="s">
        <v>378</v>
      </c>
      <c r="S289" t="s">
        <v>94</v>
      </c>
      <c r="T289" t="s">
        <v>474</v>
      </c>
      <c r="U289" t="s">
        <v>62</v>
      </c>
      <c r="V289">
        <v>2143685716</v>
      </c>
      <c r="W289" s="1">
        <v>521217</v>
      </c>
      <c r="X289">
        <v>1</v>
      </c>
      <c r="Y289">
        <v>1</v>
      </c>
      <c r="Z289">
        <v>1995</v>
      </c>
      <c r="AA289" t="s">
        <v>70</v>
      </c>
      <c r="AB289" t="s">
        <v>475</v>
      </c>
      <c r="AC289" t="s">
        <v>98</v>
      </c>
      <c r="AD289" t="s">
        <v>119</v>
      </c>
      <c r="AE289">
        <v>1382</v>
      </c>
      <c r="AF289" t="s">
        <v>120</v>
      </c>
      <c r="AI289">
        <v>13820000</v>
      </c>
      <c r="AJ289" t="s">
        <v>119</v>
      </c>
      <c r="AM289">
        <v>213112</v>
      </c>
      <c r="AN289" t="s">
        <v>74</v>
      </c>
      <c r="AQ289" t="s">
        <v>75</v>
      </c>
      <c r="AT289" t="s">
        <v>76</v>
      </c>
      <c r="BF289">
        <v>0</v>
      </c>
      <c r="BG289">
        <v>0</v>
      </c>
      <c r="CK289" s="19">
        <f>IF(BQ289&gt;0,BQ289,W289)</f>
        <v>521217</v>
      </c>
      <c r="CL289" s="20">
        <f>IF(BS289&gt;0,BS289,Y289)</f>
        <v>1</v>
      </c>
      <c r="CM289" s="34">
        <f>IF(CG289&gt;0,CG289,AM289)</f>
        <v>213112</v>
      </c>
      <c r="CN289" s="80">
        <f>IF($BH289="",1,COUNTIF($BH$3:$BH289,$BH289))</f>
        <v>1</v>
      </c>
      <c r="CP289" t="str">
        <f>IF($K289="Standard Match","Match",IF($K289="Name Only Match",IF($CO289="Yes","Match","Name Only Match"),"No Match"))</f>
        <v>Match</v>
      </c>
      <c r="CQ289" s="35" t="str">
        <f>IF(AND(CP289="Match",CK289&gt;0,CL289&gt;0),"Y","N")</f>
        <v>Y</v>
      </c>
      <c r="CS289" t="str">
        <f>IF($CQ289="Y",VLOOKUP($CM289,'SBA Size Standards'!$B$3:$G$57,MATCH('SBA Size Standards'!$G$3,'SBA Size Standards'!$B$3:$G$3,0),FALSE),"")</f>
        <v>Revenue</v>
      </c>
      <c r="CT289" s="60">
        <f>IF(CQ289="Y",IF($CS289="Employment","N/A",VLOOKUP($CM289,'SBA Size Standards'!$B$3:$G$57,MATCH('SBA Size Standards'!$E$3,'SBA Size Standards'!$B$3:$G$3,0),FALSE)),"")</f>
        <v>41500000</v>
      </c>
      <c r="CU289" s="86" t="str">
        <f>IF($CQ289="Y",IF($CS289="Revenue","N/A",VLOOKUP($CM289,'SBA Size Standards'!$B$3:$G$57,MATCH('SBA Size Standards'!$F$3,'SBA Size Standards'!$B$3:$G$3,0),FALSE)),"")</f>
        <v>N/A</v>
      </c>
      <c r="CV289" t="str">
        <f>IF($CQ289="Y",IF(OR(AND($CS289="Employment",$CL289&lt;$CU289),AND($CS289="Revenue",$CK289&lt;$CT289)),"YES","NO"),"")</f>
        <v>YES</v>
      </c>
      <c r="CW289" s="90" t="str">
        <f>IF($CQ289="Y",INDEX('SBA Size Standards'!$N$3:$N$12,MATCH($CK289,'SBA Size Standards'!$O$3:$O$12,1)),"")</f>
        <v>$500,001 - $1,000,000</v>
      </c>
      <c r="CX289" s="122" t="s">
        <v>4809</v>
      </c>
      <c r="CY289" s="122">
        <f>INDEX('NM O&amp;G Production'!$P$3:$P$537,MATCH(CX289,'NM O&amp;G Production'!$Q$3:$Q$537,0))</f>
        <v>58</v>
      </c>
      <c r="CZ289" s="122" t="str">
        <f>INDEX('NM O&amp;G Production'!$O$3:$O$537,MATCH(CY289,'NM O&amp;G Production'!$P$3:$P$537,0))</f>
        <v>Yes</v>
      </c>
      <c r="DA289" s="127">
        <f>INDEX('NM O&amp;G Production'!$K$3:$O$537,MATCH($CY289,'NM O&amp;G Production'!$P$3:$P$537,0),MATCH(DA$2,'NM O&amp;G Production'!$K$2:$O$2,0))</f>
        <v>50</v>
      </c>
      <c r="DB289" s="127">
        <f>INDEX('NM O&amp;G Production'!$K$3:$O$537,MATCH($CY289,'NM O&amp;G Production'!$P$3:$P$537,0),MATCH(DB$2,'NM O&amp;G Production'!$K$2:$O$2,0))</f>
        <v>319</v>
      </c>
      <c r="DC289" s="127">
        <f>DA289+DB289</f>
        <v>369</v>
      </c>
      <c r="DD289" s="127">
        <f>INDEX('NM O&amp;G Production'!$K$3:$O$537,MATCH($CY289,'NM O&amp;G Production'!$P$3:$P$537,0),MATCH(DD$2,'NM O&amp;G Production'!$K$2:$O$2,0))</f>
        <v>1286329</v>
      </c>
      <c r="DE289" s="127">
        <f>INDEX('NM O&amp;G Production'!$K$3:$O$537,MATCH($CY289,'NM O&amp;G Production'!$P$3:$P$537,0),MATCH(DE$2,'NM O&amp;G Production'!$K$2:$O$2,0))</f>
        <v>700724</v>
      </c>
      <c r="DF289" s="258">
        <f>CK289/(DB289+DA289)</f>
        <v>1412.5121951219512</v>
      </c>
      <c r="DG289" s="57">
        <f>DD289*(12/18)*1.06*'Oil and Gas Prices'!$C$18</f>
        <v>2172523.9257333335</v>
      </c>
      <c r="DH289" s="284">
        <f>DE289*(12/18)*'Oil and Gas Prices'!$C$4</f>
        <v>21021720</v>
      </c>
      <c r="DI289" s="284">
        <f>DG289+DH289</f>
        <v>23194243.925733335</v>
      </c>
      <c r="DJ289" s="57">
        <f>(DG289+DH289)/(DA289+DB289)</f>
        <v>62857.02960903343</v>
      </c>
      <c r="DK289" s="318"/>
    </row>
    <row r="290" spans="1:115" x14ac:dyDescent="0.25">
      <c r="A290" t="s">
        <v>330</v>
      </c>
      <c r="B290" t="s">
        <v>331</v>
      </c>
      <c r="D290" t="s">
        <v>183</v>
      </c>
      <c r="E290" t="s">
        <v>184</v>
      </c>
      <c r="F290" t="s">
        <v>332</v>
      </c>
      <c r="G290" t="s">
        <v>62</v>
      </c>
      <c r="I290">
        <v>35</v>
      </c>
      <c r="J290" t="s">
        <v>63</v>
      </c>
      <c r="K290" t="s">
        <v>4133</v>
      </c>
      <c r="L290" t="s">
        <v>279</v>
      </c>
      <c r="M290">
        <v>8</v>
      </c>
      <c r="N290" t="s">
        <v>333</v>
      </c>
      <c r="O290" t="s">
        <v>334</v>
      </c>
      <c r="Q290" t="s">
        <v>335</v>
      </c>
      <c r="R290" t="s">
        <v>183</v>
      </c>
      <c r="S290" t="s">
        <v>188</v>
      </c>
      <c r="T290" t="s">
        <v>336</v>
      </c>
      <c r="U290" t="s">
        <v>62</v>
      </c>
      <c r="V290">
        <v>9185823855</v>
      </c>
      <c r="W290" s="1">
        <v>510000</v>
      </c>
      <c r="X290">
        <v>4</v>
      </c>
      <c r="Y290">
        <v>4</v>
      </c>
      <c r="Z290">
        <v>1992</v>
      </c>
      <c r="AA290" t="s">
        <v>70</v>
      </c>
      <c r="AB290" t="s">
        <v>337</v>
      </c>
      <c r="AC290" t="s">
        <v>231</v>
      </c>
      <c r="AD290" t="s">
        <v>119</v>
      </c>
      <c r="AE290">
        <v>1382</v>
      </c>
      <c r="AF290" t="s">
        <v>120</v>
      </c>
      <c r="AI290">
        <v>13820000</v>
      </c>
      <c r="AJ290" t="s">
        <v>119</v>
      </c>
      <c r="AM290">
        <v>213112</v>
      </c>
      <c r="AN290" t="s">
        <v>74</v>
      </c>
      <c r="AQ290" t="s">
        <v>75</v>
      </c>
      <c r="AT290" t="s">
        <v>76</v>
      </c>
      <c r="BF290">
        <v>0</v>
      </c>
      <c r="BG290">
        <v>0</v>
      </c>
      <c r="CK290" s="19">
        <f>IF(BQ290&gt;0,BQ290,W290)</f>
        <v>510000</v>
      </c>
      <c r="CL290" s="20">
        <f>IF(BS290&gt;0,BS290,Y290)</f>
        <v>4</v>
      </c>
      <c r="CM290" s="34">
        <f>IF(CG290&gt;0,CG290,AM290)</f>
        <v>213112</v>
      </c>
      <c r="CN290" s="80">
        <f>IF($BH290="",1,COUNTIF($BH$3:$BH290,$BH290))</f>
        <v>1</v>
      </c>
      <c r="CP290" t="str">
        <f>IF($K290="Standard Match","Match",IF($K290="Name Only Match",IF($CO290="Yes","Match","Name Only Match"),"No Match"))</f>
        <v>Match</v>
      </c>
      <c r="CQ290" s="35" t="str">
        <f>IF(AND(CP290="Match",CK290&gt;0,CL290&gt;0),"Y","N")</f>
        <v>Y</v>
      </c>
      <c r="CS290" t="str">
        <f>IF($CQ290="Y",VLOOKUP($CM290,'SBA Size Standards'!$B$3:$G$57,MATCH('SBA Size Standards'!$G$3,'SBA Size Standards'!$B$3:$G$3,0),FALSE),"")</f>
        <v>Revenue</v>
      </c>
      <c r="CT290" s="60">
        <f>IF(CQ290="Y",IF($CS290="Employment","N/A",VLOOKUP($CM290,'SBA Size Standards'!$B$3:$G$57,MATCH('SBA Size Standards'!$E$3,'SBA Size Standards'!$B$3:$G$3,0),FALSE)),"")</f>
        <v>41500000</v>
      </c>
      <c r="CU290" s="86" t="str">
        <f>IF($CQ290="Y",IF($CS290="Revenue","N/A",VLOOKUP($CM290,'SBA Size Standards'!$B$3:$G$57,MATCH('SBA Size Standards'!$F$3,'SBA Size Standards'!$B$3:$G$3,0),FALSE)),"")</f>
        <v>N/A</v>
      </c>
      <c r="CV290" t="str">
        <f>IF($CQ290="Y",IF(OR(AND($CS290="Employment",$CL290&lt;$CU290),AND($CS290="Revenue",$CK290&lt;$CT290)),"YES","NO"),"")</f>
        <v>YES</v>
      </c>
      <c r="CW290" s="90" t="str">
        <f>IF($CQ290="Y",INDEX('SBA Size Standards'!$N$3:$N$12,MATCH($CK290,'SBA Size Standards'!$O$3:$O$12,1)),"")</f>
        <v>$500,001 - $1,000,000</v>
      </c>
      <c r="CX290" s="122" t="s">
        <v>4806</v>
      </c>
      <c r="CY290" s="122">
        <f>INDEX('NM O&amp;G Production'!$P$3:$P$537,MATCH(CX290,'NM O&amp;G Production'!$Q$3:$Q$537,0))</f>
        <v>35</v>
      </c>
      <c r="CZ290" s="122" t="str">
        <f>INDEX('NM O&amp;G Production'!$O$3:$O$537,MATCH(CY290,'NM O&amp;G Production'!$P$3:$P$537,0))</f>
        <v>Yes</v>
      </c>
      <c r="DA290" s="127">
        <f>INDEX('NM O&amp;G Production'!$K$3:$O$537,MATCH($CY290,'NM O&amp;G Production'!$P$3:$P$537,0),MATCH(DA$2,'NM O&amp;G Production'!$K$2:$O$2,0))</f>
        <v>0</v>
      </c>
      <c r="DB290" s="127">
        <f>INDEX('NM O&amp;G Production'!$K$3:$O$537,MATCH($CY290,'NM O&amp;G Production'!$P$3:$P$537,0),MATCH(DB$2,'NM O&amp;G Production'!$K$2:$O$2,0))</f>
        <v>17</v>
      </c>
      <c r="DC290" s="127">
        <f>DA290+DB290</f>
        <v>17</v>
      </c>
      <c r="DD290" s="127">
        <f>INDEX('NM O&amp;G Production'!$K$3:$O$537,MATCH($CY290,'NM O&amp;G Production'!$P$3:$P$537,0),MATCH(DD$2,'NM O&amp;G Production'!$K$2:$O$2,0))</f>
        <v>232190</v>
      </c>
      <c r="DE290" s="127">
        <f>INDEX('NM O&amp;G Production'!$K$3:$O$537,MATCH($CY290,'NM O&amp;G Production'!$P$3:$P$537,0),MATCH(DE$2,'NM O&amp;G Production'!$K$2:$O$2,0))</f>
        <v>15757</v>
      </c>
      <c r="DF290" s="258">
        <f>CK290/(DB290+DA290)</f>
        <v>30000</v>
      </c>
      <c r="DG290" s="57">
        <f>DD290*(12/18)*1.06*'Oil and Gas Prices'!$C$18</f>
        <v>392153.43066666665</v>
      </c>
      <c r="DH290" s="284">
        <f>DE290*(12/18)*'Oil and Gas Prices'!$C$4</f>
        <v>472710</v>
      </c>
      <c r="DI290" s="284">
        <f>DG290+DH290</f>
        <v>864863.43066666671</v>
      </c>
      <c r="DJ290" s="57">
        <f>(DG290+DH290)/(DA290+DB290)</f>
        <v>50874.319450980394</v>
      </c>
      <c r="DK290" s="318"/>
    </row>
    <row r="291" spans="1:115" x14ac:dyDescent="0.25">
      <c r="A291" t="s">
        <v>2009</v>
      </c>
      <c r="B291" t="s">
        <v>2010</v>
      </c>
      <c r="D291" t="s">
        <v>153</v>
      </c>
      <c r="E291" t="s">
        <v>80</v>
      </c>
      <c r="F291">
        <v>79701</v>
      </c>
      <c r="G291" t="s">
        <v>62</v>
      </c>
      <c r="I291">
        <v>282</v>
      </c>
      <c r="J291" t="s">
        <v>404</v>
      </c>
      <c r="K291" t="s">
        <v>4133</v>
      </c>
      <c r="L291" t="s">
        <v>113</v>
      </c>
      <c r="M291">
        <v>8</v>
      </c>
      <c r="N291" t="s">
        <v>2011</v>
      </c>
      <c r="O291" t="s">
        <v>2012</v>
      </c>
      <c r="Q291" t="s">
        <v>2013</v>
      </c>
      <c r="R291" t="s">
        <v>153</v>
      </c>
      <c r="S291" t="s">
        <v>94</v>
      </c>
      <c r="T291" t="s">
        <v>2014</v>
      </c>
      <c r="U291" t="s">
        <v>62</v>
      </c>
      <c r="V291">
        <v>4326824250</v>
      </c>
      <c r="W291" s="1">
        <v>510000</v>
      </c>
      <c r="X291">
        <v>4</v>
      </c>
      <c r="Y291">
        <v>4</v>
      </c>
      <c r="AA291" t="s">
        <v>70</v>
      </c>
      <c r="AB291" t="s">
        <v>2015</v>
      </c>
      <c r="AC291" t="s">
        <v>98</v>
      </c>
      <c r="AD291" t="s">
        <v>119</v>
      </c>
      <c r="AE291">
        <v>1382</v>
      </c>
      <c r="AF291" t="s">
        <v>120</v>
      </c>
      <c r="AI291">
        <v>13820000</v>
      </c>
      <c r="AJ291" t="s">
        <v>119</v>
      </c>
      <c r="AM291">
        <v>213112</v>
      </c>
      <c r="AN291" t="s">
        <v>74</v>
      </c>
      <c r="AQ291" t="s">
        <v>75</v>
      </c>
      <c r="AT291" t="s">
        <v>76</v>
      </c>
      <c r="BF291">
        <v>0</v>
      </c>
      <c r="BG291">
        <v>0</v>
      </c>
      <c r="CK291" s="19">
        <f>IF(BQ291&gt;0,BQ291,W291)</f>
        <v>510000</v>
      </c>
      <c r="CL291" s="20">
        <f>IF(BS291&gt;0,BS291,Y291)</f>
        <v>4</v>
      </c>
      <c r="CM291" s="34">
        <f>IF(CG291&gt;0,CG291,AM291)</f>
        <v>213112</v>
      </c>
      <c r="CN291" s="80">
        <f>IF($BH291="",1,COUNTIF($BH$3:$BH291,$BH291))</f>
        <v>1</v>
      </c>
      <c r="CP291" t="str">
        <f>IF($K291="Standard Match","Match",IF($K291="Name Only Match",IF($CO291="Yes","Match","Name Only Match"),"No Match"))</f>
        <v>Match</v>
      </c>
      <c r="CQ291" s="35" t="str">
        <f>IF(AND(CP291="Match",CK291&gt;0,CL291&gt;0),"Y","N")</f>
        <v>Y</v>
      </c>
      <c r="CS291" t="str">
        <f>IF($CQ291="Y",VLOOKUP($CM291,'SBA Size Standards'!$B$3:$G$57,MATCH('SBA Size Standards'!$G$3,'SBA Size Standards'!$B$3:$G$3,0),FALSE),"")</f>
        <v>Revenue</v>
      </c>
      <c r="CT291" s="60">
        <f>IF(CQ291="Y",IF($CS291="Employment","N/A",VLOOKUP($CM291,'SBA Size Standards'!$B$3:$G$57,MATCH('SBA Size Standards'!$E$3,'SBA Size Standards'!$B$3:$G$3,0),FALSE)),"")</f>
        <v>41500000</v>
      </c>
      <c r="CU291" s="86" t="str">
        <f>IF($CQ291="Y",IF($CS291="Revenue","N/A",VLOOKUP($CM291,'SBA Size Standards'!$B$3:$G$57,MATCH('SBA Size Standards'!$F$3,'SBA Size Standards'!$B$3:$G$3,0),FALSE)),"")</f>
        <v>N/A</v>
      </c>
      <c r="CV291" t="str">
        <f>IF($CQ291="Y",IF(OR(AND($CS291="Employment",$CL291&lt;$CU291),AND($CS291="Revenue",$CK291&lt;$CT291)),"YES","NO"),"")</f>
        <v>YES</v>
      </c>
      <c r="CW291" s="90" t="str">
        <f>IF($CQ291="Y",INDEX('SBA Size Standards'!$N$3:$N$12,MATCH($CK291,'SBA Size Standards'!$O$3:$O$12,1)),"")</f>
        <v>$500,001 - $1,000,000</v>
      </c>
      <c r="CX291" s="122" t="s">
        <v>4864</v>
      </c>
      <c r="CY291" s="122">
        <f>INDEX('NM O&amp;G Production'!$P$3:$P$537,MATCH(CX291,'NM O&amp;G Production'!$Q$3:$Q$537,0))</f>
        <v>282</v>
      </c>
      <c r="CZ291" s="122" t="str">
        <f>INDEX('NM O&amp;G Production'!$O$3:$O$537,MATCH(CY291,'NM O&amp;G Production'!$P$3:$P$537,0))</f>
        <v>Yes</v>
      </c>
      <c r="DA291" s="127">
        <f>INDEX('NM O&amp;G Production'!$K$3:$O$537,MATCH($CY291,'NM O&amp;G Production'!$P$3:$P$537,0),MATCH(DA$2,'NM O&amp;G Production'!$K$2:$O$2,0))</f>
        <v>16</v>
      </c>
      <c r="DB291" s="127">
        <f>INDEX('NM O&amp;G Production'!$K$3:$O$537,MATCH($CY291,'NM O&amp;G Production'!$P$3:$P$537,0),MATCH(DB$2,'NM O&amp;G Production'!$K$2:$O$2,0))</f>
        <v>41</v>
      </c>
      <c r="DC291" s="127">
        <f>DA291+DB291</f>
        <v>57</v>
      </c>
      <c r="DD291" s="127">
        <f>INDEX('NM O&amp;G Production'!$K$3:$O$537,MATCH($CY291,'NM O&amp;G Production'!$P$3:$P$537,0),MATCH(DD$2,'NM O&amp;G Production'!$K$2:$O$2,0))</f>
        <v>474444</v>
      </c>
      <c r="DE291" s="127">
        <f>INDEX('NM O&amp;G Production'!$K$3:$O$537,MATCH($CY291,'NM O&amp;G Production'!$P$3:$P$537,0),MATCH(DE$2,'NM O&amp;G Production'!$K$2:$O$2,0))</f>
        <v>26442</v>
      </c>
      <c r="DF291" s="258">
        <f>CK291/(DB291+DA291)</f>
        <v>8947.3684210526317</v>
      </c>
      <c r="DG291" s="57">
        <f>DD291*(12/18)*1.06*'Oil and Gas Prices'!$C$18</f>
        <v>801304.2864000001</v>
      </c>
      <c r="DH291" s="284">
        <f>DE291*(12/18)*'Oil and Gas Prices'!$C$4</f>
        <v>793260</v>
      </c>
      <c r="DI291" s="284">
        <f>DG291+DH291</f>
        <v>1594564.2864000001</v>
      </c>
      <c r="DJ291" s="57">
        <f>(DG291+DH291)/(DA291+DB291)</f>
        <v>27974.812042105266</v>
      </c>
      <c r="DK291" s="318"/>
    </row>
    <row r="292" spans="1:115" x14ac:dyDescent="0.25">
      <c r="A292" t="s">
        <v>1323</v>
      </c>
      <c r="B292" t="s">
        <v>1324</v>
      </c>
      <c r="D292" t="s">
        <v>112</v>
      </c>
      <c r="E292" t="s">
        <v>80</v>
      </c>
      <c r="F292">
        <v>77056</v>
      </c>
      <c r="G292" t="s">
        <v>62</v>
      </c>
      <c r="I292">
        <v>174</v>
      </c>
      <c r="J292" t="s">
        <v>63</v>
      </c>
      <c r="K292" t="s">
        <v>4133</v>
      </c>
      <c r="L292" t="s">
        <v>247</v>
      </c>
      <c r="M292">
        <v>10</v>
      </c>
      <c r="N292" t="s">
        <v>1325</v>
      </c>
      <c r="O292" t="s">
        <v>1326</v>
      </c>
      <c r="Q292" t="s">
        <v>1327</v>
      </c>
      <c r="R292" t="s">
        <v>112</v>
      </c>
      <c r="S292" t="s">
        <v>94</v>
      </c>
      <c r="T292" t="s">
        <v>1328</v>
      </c>
      <c r="U292" t="s">
        <v>62</v>
      </c>
      <c r="V292">
        <v>8327060041</v>
      </c>
      <c r="W292" s="1">
        <v>500000</v>
      </c>
      <c r="X292">
        <v>4</v>
      </c>
      <c r="Y292">
        <v>4</v>
      </c>
      <c r="Z292">
        <v>2016</v>
      </c>
      <c r="AA292" t="s">
        <v>70</v>
      </c>
      <c r="AB292" t="s">
        <v>1329</v>
      </c>
      <c r="AC292" t="s">
        <v>145</v>
      </c>
      <c r="AD292" t="s">
        <v>517</v>
      </c>
      <c r="AE292">
        <v>1381</v>
      </c>
      <c r="AF292" t="s">
        <v>518</v>
      </c>
      <c r="AI292">
        <v>13810000</v>
      </c>
      <c r="AJ292" t="s">
        <v>519</v>
      </c>
      <c r="AM292">
        <v>213111</v>
      </c>
      <c r="AN292" t="s">
        <v>518</v>
      </c>
      <c r="AQ292" t="s">
        <v>75</v>
      </c>
      <c r="AT292" t="s">
        <v>76</v>
      </c>
      <c r="BF292">
        <v>0</v>
      </c>
      <c r="BG292">
        <v>0</v>
      </c>
      <c r="CK292" s="19">
        <f>IF(BQ292&gt;0,BQ292,W292)</f>
        <v>500000</v>
      </c>
      <c r="CL292" s="20">
        <f>IF(BS292&gt;0,BS292,Y292)</f>
        <v>4</v>
      </c>
      <c r="CM292" s="34">
        <f>IF(CG292&gt;0,CG292,AM292)</f>
        <v>213111</v>
      </c>
      <c r="CN292" s="80">
        <f>IF($BH292="",1,COUNTIF($BH$3:$BH292,$BH292))</f>
        <v>1</v>
      </c>
      <c r="CP292" t="str">
        <f>IF($K292="Standard Match","Match",IF($K292="Name Only Match",IF($CO292="Yes","Match","Name Only Match"),"No Match"))</f>
        <v>Match</v>
      </c>
      <c r="CQ292" s="35" t="str">
        <f>IF(AND(CP292="Match",CK292&gt;0,CL292&gt;0),"Y","N")</f>
        <v>Y</v>
      </c>
      <c r="CS292" t="str">
        <f>IF($CQ292="Y",VLOOKUP($CM292,'SBA Size Standards'!$B$3:$G$57,MATCH('SBA Size Standards'!$G$3,'SBA Size Standards'!$B$3:$G$3,0),FALSE),"")</f>
        <v>Employment</v>
      </c>
      <c r="CT292" s="60" t="str">
        <f>IF(CQ292="Y",IF($CS292="Employment","N/A",VLOOKUP($CM292,'SBA Size Standards'!$B$3:$G$57,MATCH('SBA Size Standards'!$E$3,'SBA Size Standards'!$B$3:$G$3,0),FALSE)),"")</f>
        <v>N/A</v>
      </c>
      <c r="CU292" s="86">
        <f>IF($CQ292="Y",IF($CS292="Revenue","N/A",VLOOKUP($CM292,'SBA Size Standards'!$B$3:$G$57,MATCH('SBA Size Standards'!$F$3,'SBA Size Standards'!$B$3:$G$3,0),FALSE)),"")</f>
        <v>1000</v>
      </c>
      <c r="CV292" t="str">
        <f>IF($CQ292="Y",IF(OR(AND($CS292="Employment",$CL292&lt;$CU292),AND($CS292="Revenue",$CK292&lt;$CT292)),"YES","NO"),"")</f>
        <v>YES</v>
      </c>
      <c r="CW292" s="90" t="str">
        <f>IF($CQ292="Y",INDEX('SBA Size Standards'!$N$3:$N$12,MATCH($CK292,'SBA Size Standards'!$O$3:$O$12,1)),"")</f>
        <v>$100,001 - $500,000</v>
      </c>
      <c r="CX292" s="122" t="s">
        <v>4612</v>
      </c>
      <c r="CY292" s="122">
        <f>INDEX('NM O&amp;G Production'!$P$3:$P$537,MATCH(CX292,'NM O&amp;G Production'!$Q$3:$Q$537,0))</f>
        <v>174</v>
      </c>
      <c r="CZ292" s="122" t="str">
        <f>INDEX('NM O&amp;G Production'!$O$3:$O$537,MATCH(CY292,'NM O&amp;G Production'!$P$3:$P$537,0))</f>
        <v>Yes</v>
      </c>
      <c r="DA292" s="127">
        <f>INDEX('NM O&amp;G Production'!$K$3:$O$537,MATCH($CY292,'NM O&amp;G Production'!$P$3:$P$537,0),MATCH(DA$2,'NM O&amp;G Production'!$K$2:$O$2,0))</f>
        <v>32</v>
      </c>
      <c r="DB292" s="127">
        <f>INDEX('NM O&amp;G Production'!$K$3:$O$537,MATCH($CY292,'NM O&amp;G Production'!$P$3:$P$537,0),MATCH(DB$2,'NM O&amp;G Production'!$K$2:$O$2,0))</f>
        <v>62</v>
      </c>
      <c r="DC292" s="127">
        <f>DA292+DB292</f>
        <v>94</v>
      </c>
      <c r="DD292" s="127">
        <f>INDEX('NM O&amp;G Production'!$K$3:$O$537,MATCH($CY292,'NM O&amp;G Production'!$P$3:$P$537,0),MATCH(DD$2,'NM O&amp;G Production'!$K$2:$O$2,0))</f>
        <v>201731</v>
      </c>
      <c r="DE292" s="127">
        <f>INDEX('NM O&amp;G Production'!$K$3:$O$537,MATCH($CY292,'NM O&amp;G Production'!$P$3:$P$537,0),MATCH(DE$2,'NM O&amp;G Production'!$K$2:$O$2,0))</f>
        <v>193132</v>
      </c>
      <c r="DF292" s="258">
        <f>CK292/(DB292+DA292)</f>
        <v>5319.1489361702124</v>
      </c>
      <c r="DG292" s="57">
        <f>DD292*(12/18)*1.06*'Oil and Gas Prices'!$C$18</f>
        <v>340710.21026666666</v>
      </c>
      <c r="DH292" s="284">
        <f>DE292*(12/18)*'Oil and Gas Prices'!$C$4</f>
        <v>5793960</v>
      </c>
      <c r="DI292" s="284">
        <f>DG292+DH292</f>
        <v>6134670.2102666665</v>
      </c>
      <c r="DJ292" s="57">
        <f>(DG292+DH292)/(DA292+DB292)</f>
        <v>65262.449045390073</v>
      </c>
      <c r="DK292" s="318"/>
    </row>
    <row r="293" spans="1:115" x14ac:dyDescent="0.25">
      <c r="A293" t="s">
        <v>3414</v>
      </c>
      <c r="B293" t="s">
        <v>3415</v>
      </c>
      <c r="D293" t="s">
        <v>83</v>
      </c>
      <c r="E293" t="s">
        <v>84</v>
      </c>
      <c r="F293">
        <v>88211024</v>
      </c>
      <c r="G293" t="s">
        <v>62</v>
      </c>
      <c r="I293">
        <v>505</v>
      </c>
      <c r="J293" t="s">
        <v>89</v>
      </c>
      <c r="K293" t="s">
        <v>4133</v>
      </c>
      <c r="L293" t="s">
        <v>279</v>
      </c>
      <c r="M293">
        <v>8</v>
      </c>
      <c r="N293" t="s">
        <v>3416</v>
      </c>
      <c r="O293" t="s">
        <v>3417</v>
      </c>
      <c r="Q293" t="s">
        <v>3418</v>
      </c>
      <c r="R293" t="s">
        <v>83</v>
      </c>
      <c r="S293" t="s">
        <v>214</v>
      </c>
      <c r="T293" t="s">
        <v>3419</v>
      </c>
      <c r="U293" t="s">
        <v>62</v>
      </c>
      <c r="V293">
        <v>5757482941</v>
      </c>
      <c r="W293" s="1">
        <v>500000</v>
      </c>
      <c r="X293">
        <v>3</v>
      </c>
      <c r="Y293">
        <v>3</v>
      </c>
      <c r="Z293">
        <v>1985</v>
      </c>
      <c r="AA293" t="s">
        <v>70</v>
      </c>
      <c r="AB293" t="s">
        <v>3420</v>
      </c>
      <c r="AC293" t="s">
        <v>242</v>
      </c>
      <c r="AD293" t="s">
        <v>71</v>
      </c>
      <c r="AE293">
        <v>1389</v>
      </c>
      <c r="AF293" t="s">
        <v>72</v>
      </c>
      <c r="AI293">
        <v>13899905</v>
      </c>
      <c r="AJ293" t="s">
        <v>529</v>
      </c>
      <c r="AM293">
        <v>213112</v>
      </c>
      <c r="AN293" t="s">
        <v>74</v>
      </c>
      <c r="AQ293" t="s">
        <v>75</v>
      </c>
      <c r="AT293" t="s">
        <v>76</v>
      </c>
      <c r="BF293">
        <v>0</v>
      </c>
      <c r="BG293">
        <v>0</v>
      </c>
      <c r="CK293" s="19">
        <f>IF(BQ293&gt;0,BQ293,W293)</f>
        <v>500000</v>
      </c>
      <c r="CL293" s="20">
        <f>IF(BS293&gt;0,BS293,Y293)</f>
        <v>3</v>
      </c>
      <c r="CM293" s="34">
        <f>IF(CG293&gt;0,CG293,AM293)</f>
        <v>213112</v>
      </c>
      <c r="CN293" s="80">
        <f>IF($BH293="",1,COUNTIF($BH$3:$BH293,$BH293))</f>
        <v>1</v>
      </c>
      <c r="CP293" t="str">
        <f>IF($K293="Standard Match","Match",IF($K293="Name Only Match",IF($CO293="Yes","Match","Name Only Match"),"No Match"))</f>
        <v>Match</v>
      </c>
      <c r="CQ293" s="35" t="str">
        <f>IF(AND(CP293="Match",CK293&gt;0,CL293&gt;0),"Y","N")</f>
        <v>Y</v>
      </c>
      <c r="CS293" t="str">
        <f>IF($CQ293="Y",VLOOKUP($CM293,'SBA Size Standards'!$B$3:$G$57,MATCH('SBA Size Standards'!$G$3,'SBA Size Standards'!$B$3:$G$3,0),FALSE),"")</f>
        <v>Revenue</v>
      </c>
      <c r="CT293" s="60">
        <f>IF(CQ293="Y",IF($CS293="Employment","N/A",VLOOKUP($CM293,'SBA Size Standards'!$B$3:$G$57,MATCH('SBA Size Standards'!$E$3,'SBA Size Standards'!$B$3:$G$3,0),FALSE)),"")</f>
        <v>41500000</v>
      </c>
      <c r="CU293" s="86" t="str">
        <f>IF($CQ293="Y",IF($CS293="Revenue","N/A",VLOOKUP($CM293,'SBA Size Standards'!$B$3:$G$57,MATCH('SBA Size Standards'!$F$3,'SBA Size Standards'!$B$3:$G$3,0),FALSE)),"")</f>
        <v>N/A</v>
      </c>
      <c r="CV293" t="str">
        <f>IF($CQ293="Y",IF(OR(AND($CS293="Employment",$CL293&lt;$CU293),AND($CS293="Revenue",$CK293&lt;$CT293)),"YES","NO"),"")</f>
        <v>YES</v>
      </c>
      <c r="CW293" s="90" t="str">
        <f>IF($CQ293="Y",INDEX('SBA Size Standards'!$N$3:$N$12,MATCH($CK293,'SBA Size Standards'!$O$3:$O$12,1)),"")</f>
        <v>$100,001 - $500,000</v>
      </c>
      <c r="CX293" s="122" t="s">
        <v>4919</v>
      </c>
      <c r="CY293" s="122">
        <f>INDEX('NM O&amp;G Production'!$P$3:$P$537,MATCH(CX293,'NM O&amp;G Production'!$Q$3:$Q$537,0))</f>
        <v>505</v>
      </c>
      <c r="CZ293" s="122" t="str">
        <f>INDEX('NM O&amp;G Production'!$O$3:$O$537,MATCH(CY293,'NM O&amp;G Production'!$P$3:$P$537,0))</f>
        <v>Yes</v>
      </c>
      <c r="DA293" s="127">
        <f>INDEX('NM O&amp;G Production'!$K$3:$O$537,MATCH($CY293,'NM O&amp;G Production'!$P$3:$P$537,0),MATCH(DA$2,'NM O&amp;G Production'!$K$2:$O$2,0))</f>
        <v>7</v>
      </c>
      <c r="DB293" s="127">
        <f>INDEX('NM O&amp;G Production'!$K$3:$O$537,MATCH($CY293,'NM O&amp;G Production'!$P$3:$P$537,0),MATCH(DB$2,'NM O&amp;G Production'!$K$2:$O$2,0))</f>
        <v>35</v>
      </c>
      <c r="DC293" s="127">
        <f>DA293+DB293</f>
        <v>42</v>
      </c>
      <c r="DD293" s="127">
        <f>INDEX('NM O&amp;G Production'!$K$3:$O$537,MATCH($CY293,'NM O&amp;G Production'!$P$3:$P$537,0),MATCH(DD$2,'NM O&amp;G Production'!$K$2:$O$2,0))</f>
        <v>200893</v>
      </c>
      <c r="DE293" s="127">
        <f>INDEX('NM O&amp;G Production'!$K$3:$O$537,MATCH($CY293,'NM O&amp;G Production'!$P$3:$P$537,0),MATCH(DE$2,'NM O&amp;G Production'!$K$2:$O$2,0))</f>
        <v>30535</v>
      </c>
      <c r="DF293" s="258">
        <f>CK293/(DB293+DA293)</f>
        <v>11904.761904761905</v>
      </c>
      <c r="DG293" s="57">
        <f>DD293*(12/18)*1.06*'Oil and Gas Prices'!$C$18</f>
        <v>339294.88413333334</v>
      </c>
      <c r="DH293" s="284">
        <f>DE293*(12/18)*'Oil and Gas Prices'!$C$4</f>
        <v>916049.99999999988</v>
      </c>
      <c r="DI293" s="284">
        <f>DG293+DH293</f>
        <v>1255344.8841333333</v>
      </c>
      <c r="DJ293" s="57">
        <f>(DG293+DH293)/(DA293+DB293)</f>
        <v>29889.163907936509</v>
      </c>
      <c r="DK293" s="318"/>
    </row>
    <row r="294" spans="1:115" x14ac:dyDescent="0.25">
      <c r="A294" t="s">
        <v>3092</v>
      </c>
      <c r="B294" t="s">
        <v>3093</v>
      </c>
      <c r="D294" t="s">
        <v>291</v>
      </c>
      <c r="E294" t="s">
        <v>84</v>
      </c>
      <c r="F294">
        <v>88114</v>
      </c>
      <c r="G294" t="s">
        <v>62</v>
      </c>
      <c r="I294">
        <v>453</v>
      </c>
      <c r="J294" t="s">
        <v>63</v>
      </c>
      <c r="K294" t="s">
        <v>4133</v>
      </c>
      <c r="L294" t="s">
        <v>3094</v>
      </c>
      <c r="M294">
        <v>9</v>
      </c>
      <c r="N294" t="s">
        <v>3095</v>
      </c>
      <c r="O294" t="s">
        <v>3096</v>
      </c>
      <c r="Q294" t="s">
        <v>3097</v>
      </c>
      <c r="R294" t="s">
        <v>291</v>
      </c>
      <c r="S294" t="s">
        <v>214</v>
      </c>
      <c r="T294">
        <v>88114</v>
      </c>
      <c r="U294" t="s">
        <v>62</v>
      </c>
      <c r="V294">
        <v>5756752356</v>
      </c>
      <c r="W294" s="1">
        <v>500000</v>
      </c>
      <c r="X294">
        <v>12</v>
      </c>
      <c r="Y294">
        <v>12</v>
      </c>
      <c r="Z294">
        <v>1950</v>
      </c>
      <c r="AA294" t="s">
        <v>70</v>
      </c>
      <c r="AB294" t="s">
        <v>3098</v>
      </c>
      <c r="AC294" t="s">
        <v>98</v>
      </c>
      <c r="AD294" t="s">
        <v>71</v>
      </c>
      <c r="AE294">
        <v>1389</v>
      </c>
      <c r="AF294" t="s">
        <v>72</v>
      </c>
      <c r="AI294">
        <v>13899912</v>
      </c>
      <c r="AJ294" t="s">
        <v>426</v>
      </c>
      <c r="AM294">
        <v>213112</v>
      </c>
      <c r="AN294" t="s">
        <v>74</v>
      </c>
      <c r="AQ294" t="s">
        <v>75</v>
      </c>
      <c r="AT294" t="s">
        <v>76</v>
      </c>
      <c r="BF294">
        <v>0</v>
      </c>
      <c r="BG294">
        <v>0</v>
      </c>
      <c r="CK294" s="19">
        <f>IF(BQ294&gt;0,BQ294,W294)</f>
        <v>500000</v>
      </c>
      <c r="CL294" s="20">
        <f>IF(BS294&gt;0,BS294,Y294)</f>
        <v>12</v>
      </c>
      <c r="CM294" s="34">
        <f>IF(CG294&gt;0,CG294,AM294)</f>
        <v>213112</v>
      </c>
      <c r="CN294" s="80">
        <f>IF($BH294="",1,COUNTIF($BH$3:$BH294,$BH294))</f>
        <v>1</v>
      </c>
      <c r="CP294" t="str">
        <f>IF($K294="Standard Match","Match",IF($K294="Name Only Match",IF($CO294="Yes","Match","Name Only Match"),"No Match"))</f>
        <v>Match</v>
      </c>
      <c r="CQ294" s="35" t="str">
        <f>IF(AND(CP294="Match",CK294&gt;0,CL294&gt;0),"Y","N")</f>
        <v>Y</v>
      </c>
      <c r="CS294" t="str">
        <f>IF($CQ294="Y",VLOOKUP($CM294,'SBA Size Standards'!$B$3:$G$57,MATCH('SBA Size Standards'!$G$3,'SBA Size Standards'!$B$3:$G$3,0),FALSE),"")</f>
        <v>Revenue</v>
      </c>
      <c r="CT294" s="60">
        <f>IF(CQ294="Y",IF($CS294="Employment","N/A",VLOOKUP($CM294,'SBA Size Standards'!$B$3:$G$57,MATCH('SBA Size Standards'!$E$3,'SBA Size Standards'!$B$3:$G$3,0),FALSE)),"")</f>
        <v>41500000</v>
      </c>
      <c r="CU294" s="86" t="str">
        <f>IF($CQ294="Y",IF($CS294="Revenue","N/A",VLOOKUP($CM294,'SBA Size Standards'!$B$3:$G$57,MATCH('SBA Size Standards'!$F$3,'SBA Size Standards'!$B$3:$G$3,0),FALSE)),"")</f>
        <v>N/A</v>
      </c>
      <c r="CV294" t="str">
        <f>IF($CQ294="Y",IF(OR(AND($CS294="Employment",$CL294&lt;$CU294),AND($CS294="Revenue",$CK294&lt;$CT294)),"YES","NO"),"")</f>
        <v>YES</v>
      </c>
      <c r="CW294" s="90" t="str">
        <f>IF($CQ294="Y",INDEX('SBA Size Standards'!$N$3:$N$12,MATCH($CK294,'SBA Size Standards'!$O$3:$O$12,1)),"")</f>
        <v>$100,001 - $500,000</v>
      </c>
      <c r="CX294" s="122" t="s">
        <v>4794</v>
      </c>
      <c r="CY294" s="122">
        <f>INDEX('NM O&amp;G Production'!$P$3:$P$537,MATCH(CX294,'NM O&amp;G Production'!$Q$3:$Q$537,0))</f>
        <v>453</v>
      </c>
      <c r="CZ294" s="122" t="str">
        <f>INDEX('NM O&amp;G Production'!$O$3:$O$537,MATCH(CY294,'NM O&amp;G Production'!$P$3:$P$537,0))</f>
        <v>Yes</v>
      </c>
      <c r="DA294" s="127">
        <f>INDEX('NM O&amp;G Production'!$K$3:$O$537,MATCH($CY294,'NM O&amp;G Production'!$P$3:$P$537,0),MATCH(DA$2,'NM O&amp;G Production'!$K$2:$O$2,0))</f>
        <v>2</v>
      </c>
      <c r="DB294" s="127">
        <f>INDEX('NM O&amp;G Production'!$K$3:$O$537,MATCH($CY294,'NM O&amp;G Production'!$P$3:$P$537,0),MATCH(DB$2,'NM O&amp;G Production'!$K$2:$O$2,0))</f>
        <v>4</v>
      </c>
      <c r="DC294" s="127">
        <f>DA294+DB294</f>
        <v>6</v>
      </c>
      <c r="DD294" s="127">
        <f>INDEX('NM O&amp;G Production'!$K$3:$O$537,MATCH($CY294,'NM O&amp;G Production'!$P$3:$P$537,0),MATCH(DD$2,'NM O&amp;G Production'!$K$2:$O$2,0))</f>
        <v>17682</v>
      </c>
      <c r="DE294" s="127">
        <f>INDEX('NM O&amp;G Production'!$K$3:$O$537,MATCH($CY294,'NM O&amp;G Production'!$P$3:$P$537,0),MATCH(DE$2,'NM O&amp;G Production'!$K$2:$O$2,0))</f>
        <v>3499</v>
      </c>
      <c r="DF294" s="258">
        <f>CK294/(DB294+DA294)</f>
        <v>83333.333333333328</v>
      </c>
      <c r="DG294" s="57">
        <f>DD294*(12/18)*1.06*'Oil and Gas Prices'!$C$18</f>
        <v>29863.719200000003</v>
      </c>
      <c r="DH294" s="284">
        <f>DE294*(12/18)*'Oil and Gas Prices'!$C$4</f>
        <v>104970</v>
      </c>
      <c r="DI294" s="284">
        <f>DG294+DH294</f>
        <v>134833.71919999999</v>
      </c>
      <c r="DJ294" s="57">
        <f>(DG294+DH294)/(DA294+DB294)</f>
        <v>22472.286533333332</v>
      </c>
      <c r="DK294" s="319"/>
    </row>
    <row r="295" spans="1:115" x14ac:dyDescent="0.25">
      <c r="A295" t="s">
        <v>3180</v>
      </c>
      <c r="B295" t="s">
        <v>3181</v>
      </c>
      <c r="D295" t="s">
        <v>123</v>
      </c>
      <c r="E295" t="s">
        <v>84</v>
      </c>
      <c r="F295">
        <v>87499</v>
      </c>
      <c r="G295" t="s">
        <v>62</v>
      </c>
      <c r="I295">
        <v>467</v>
      </c>
      <c r="J295" t="s">
        <v>63</v>
      </c>
      <c r="K295" t="s">
        <v>4133</v>
      </c>
      <c r="L295" t="s">
        <v>149</v>
      </c>
      <c r="M295">
        <v>10</v>
      </c>
      <c r="N295" t="s">
        <v>3182</v>
      </c>
      <c r="O295" t="s">
        <v>3183</v>
      </c>
      <c r="Q295" t="s">
        <v>3184</v>
      </c>
      <c r="R295" t="s">
        <v>123</v>
      </c>
      <c r="S295" t="s">
        <v>214</v>
      </c>
      <c r="T295" t="s">
        <v>3185</v>
      </c>
      <c r="U295" t="s">
        <v>62</v>
      </c>
      <c r="V295">
        <v>5053255449</v>
      </c>
      <c r="W295" s="1">
        <v>496321</v>
      </c>
      <c r="X295">
        <v>4</v>
      </c>
      <c r="Y295">
        <v>4</v>
      </c>
      <c r="Z295">
        <v>1996</v>
      </c>
      <c r="AA295" t="s">
        <v>70</v>
      </c>
      <c r="AB295" t="s">
        <v>3186</v>
      </c>
      <c r="AC295" t="s">
        <v>145</v>
      </c>
      <c r="AD295" t="s">
        <v>656</v>
      </c>
      <c r="AE295">
        <v>8748</v>
      </c>
      <c r="AF295" t="s">
        <v>657</v>
      </c>
      <c r="AI295">
        <v>87480400</v>
      </c>
      <c r="AJ295" t="s">
        <v>3187</v>
      </c>
      <c r="AM295">
        <v>541690</v>
      </c>
      <c r="AN295" t="s">
        <v>935</v>
      </c>
      <c r="AQ295" t="s">
        <v>75</v>
      </c>
      <c r="AT295" t="s">
        <v>76</v>
      </c>
      <c r="BF295">
        <v>0</v>
      </c>
      <c r="BG295">
        <v>0</v>
      </c>
      <c r="CK295" s="19">
        <f>IF(BQ295&gt;0,BQ295,W295)</f>
        <v>496321</v>
      </c>
      <c r="CL295" s="20">
        <f>IF(BS295&gt;0,BS295,Y295)</f>
        <v>4</v>
      </c>
      <c r="CM295" s="34">
        <f>IF(CG295&gt;0,CG295,AM295)</f>
        <v>541690</v>
      </c>
      <c r="CN295" s="80">
        <f>IF($BH295="",1,COUNTIF($BH$3:$BH295,$BH295))</f>
        <v>1</v>
      </c>
      <c r="CP295" t="str">
        <f>IF($K295="Standard Match","Match",IF($K295="Name Only Match",IF($CO295="Yes","Match","Name Only Match"),"No Match"))</f>
        <v>Match</v>
      </c>
      <c r="CQ295" s="35" t="str">
        <f>IF(AND(CP295="Match",CK295&gt;0,CL295&gt;0),"Y","N")</f>
        <v>Y</v>
      </c>
      <c r="CS295" t="str">
        <f>IF($CQ295="Y",VLOOKUP($CM295,'SBA Size Standards'!$B$3:$G$57,MATCH('SBA Size Standards'!$G$3,'SBA Size Standards'!$B$3:$G$3,0),FALSE),"")</f>
        <v>Revenue</v>
      </c>
      <c r="CT295" s="60">
        <f>IF(CQ295="Y",IF($CS295="Employment","N/A",VLOOKUP($CM295,'SBA Size Standards'!$B$3:$G$57,MATCH('SBA Size Standards'!$E$3,'SBA Size Standards'!$B$3:$G$3,0),FALSE)),"")</f>
        <v>16500000</v>
      </c>
      <c r="CU295" s="86" t="str">
        <f>IF($CQ295="Y",IF($CS295="Revenue","N/A",VLOOKUP($CM295,'SBA Size Standards'!$B$3:$G$57,MATCH('SBA Size Standards'!$F$3,'SBA Size Standards'!$B$3:$G$3,0),FALSE)),"")</f>
        <v>N/A</v>
      </c>
      <c r="CV295" t="str">
        <f>IF($CQ295="Y",IF(OR(AND($CS295="Employment",$CL295&lt;$CU295),AND($CS295="Revenue",$CK295&lt;$CT295)),"YES","NO"),"")</f>
        <v>YES</v>
      </c>
      <c r="CW295" s="90" t="str">
        <f>IF($CQ295="Y",INDEX('SBA Size Standards'!$N$3:$N$12,MATCH($CK295,'SBA Size Standards'!$O$3:$O$12,1)),"")</f>
        <v>$100,001 - $500,000</v>
      </c>
      <c r="CX295" s="122" t="s">
        <v>4762</v>
      </c>
      <c r="CY295" s="122">
        <f>INDEX('NM O&amp;G Production'!$P$3:$P$537,MATCH(CX295,'NM O&amp;G Production'!$Q$3:$Q$537,0))</f>
        <v>467</v>
      </c>
      <c r="CZ295" s="122" t="str">
        <f>INDEX('NM O&amp;G Production'!$O$3:$O$537,MATCH(CY295,'NM O&amp;G Production'!$P$3:$P$537,0))</f>
        <v>Yes</v>
      </c>
      <c r="DA295" s="127">
        <f>INDEX('NM O&amp;G Production'!$K$3:$O$537,MATCH($CY295,'NM O&amp;G Production'!$P$3:$P$537,0),MATCH(DA$2,'NM O&amp;G Production'!$K$2:$O$2,0))</f>
        <v>5</v>
      </c>
      <c r="DB295" s="127">
        <f>INDEX('NM O&amp;G Production'!$K$3:$O$537,MATCH($CY295,'NM O&amp;G Production'!$P$3:$P$537,0),MATCH(DB$2,'NM O&amp;G Production'!$K$2:$O$2,0))</f>
        <v>11</v>
      </c>
      <c r="DC295" s="127">
        <f>DA295+DB295</f>
        <v>16</v>
      </c>
      <c r="DD295" s="127">
        <f>INDEX('NM O&amp;G Production'!$K$3:$O$537,MATCH($CY295,'NM O&amp;G Production'!$P$3:$P$537,0),MATCH(DD$2,'NM O&amp;G Production'!$K$2:$O$2,0))</f>
        <v>108808</v>
      </c>
      <c r="DE295" s="127">
        <f>INDEX('NM O&amp;G Production'!$K$3:$O$537,MATCH($CY295,'NM O&amp;G Production'!$P$3:$P$537,0),MATCH(DE$2,'NM O&amp;G Production'!$K$2:$O$2,0))</f>
        <v>2763</v>
      </c>
      <c r="DF295" s="258">
        <f>CK295/(DB295+DA295)</f>
        <v>31020.0625</v>
      </c>
      <c r="DG295" s="57">
        <f>DD295*(12/18)*1.06*'Oil and Gas Prices'!$C$18</f>
        <v>183769.45813333333</v>
      </c>
      <c r="DH295" s="284">
        <f>DE295*(12/18)*'Oil and Gas Prices'!$C$4</f>
        <v>82890</v>
      </c>
      <c r="DI295" s="284">
        <f>DG295+DH295</f>
        <v>266659.45813333336</v>
      </c>
      <c r="DJ295" s="57">
        <f>(DG295+DH295)/(DA295+DB295)</f>
        <v>16666.216133333335</v>
      </c>
      <c r="DK295" s="318"/>
    </row>
    <row r="296" spans="1:115" x14ac:dyDescent="0.25">
      <c r="A296" t="s">
        <v>1578</v>
      </c>
      <c r="B296" t="s">
        <v>1579</v>
      </c>
      <c r="D296" t="s">
        <v>209</v>
      </c>
      <c r="E296" t="s">
        <v>84</v>
      </c>
      <c r="F296">
        <v>882021592</v>
      </c>
      <c r="G296" t="s">
        <v>62</v>
      </c>
      <c r="I296">
        <v>214</v>
      </c>
      <c r="J296" t="s">
        <v>63</v>
      </c>
      <c r="K296" t="s">
        <v>4133</v>
      </c>
      <c r="L296" t="s">
        <v>149</v>
      </c>
      <c r="M296">
        <v>10</v>
      </c>
      <c r="N296" t="s">
        <v>1580</v>
      </c>
      <c r="O296" t="s">
        <v>1581</v>
      </c>
      <c r="Q296" t="s">
        <v>1582</v>
      </c>
      <c r="R296" t="s">
        <v>209</v>
      </c>
      <c r="S296" t="s">
        <v>214</v>
      </c>
      <c r="T296" t="s">
        <v>1583</v>
      </c>
      <c r="U296" t="s">
        <v>62</v>
      </c>
      <c r="V296">
        <v>5756239799</v>
      </c>
      <c r="W296" s="1">
        <v>495112</v>
      </c>
      <c r="X296">
        <v>4</v>
      </c>
      <c r="Y296">
        <v>4</v>
      </c>
      <c r="Z296">
        <v>1992</v>
      </c>
      <c r="AA296" t="s">
        <v>70</v>
      </c>
      <c r="AB296" t="s">
        <v>1584</v>
      </c>
      <c r="AC296" t="s">
        <v>98</v>
      </c>
      <c r="AD296" t="s">
        <v>119</v>
      </c>
      <c r="AE296">
        <v>1382</v>
      </c>
      <c r="AF296" t="s">
        <v>120</v>
      </c>
      <c r="AI296">
        <v>13820000</v>
      </c>
      <c r="AJ296" t="s">
        <v>119</v>
      </c>
      <c r="AM296">
        <v>213112</v>
      </c>
      <c r="AN296" t="s">
        <v>74</v>
      </c>
      <c r="AQ296" t="s">
        <v>75</v>
      </c>
      <c r="AT296" t="s">
        <v>76</v>
      </c>
      <c r="BF296">
        <v>0</v>
      </c>
      <c r="BG296">
        <v>0</v>
      </c>
      <c r="CK296" s="19">
        <f>IF(BQ296&gt;0,BQ296,W296)</f>
        <v>495112</v>
      </c>
      <c r="CL296" s="20">
        <f>IF(BS296&gt;0,BS296,Y296)</f>
        <v>4</v>
      </c>
      <c r="CM296" s="34">
        <f>IF(CG296&gt;0,CG296,AM296)</f>
        <v>213112</v>
      </c>
      <c r="CN296" s="80">
        <f>IF($BH296="",1,COUNTIF($BH$3:$BH296,$BH296))</f>
        <v>1</v>
      </c>
      <c r="CP296" t="str">
        <f>IF($K296="Standard Match","Match",IF($K296="Name Only Match",IF($CO296="Yes","Match","Name Only Match"),"No Match"))</f>
        <v>Match</v>
      </c>
      <c r="CQ296" s="35" t="str">
        <f>IF(AND(CP296="Match",CK296&gt;0,CL296&gt;0),"Y","N")</f>
        <v>Y</v>
      </c>
      <c r="CS296" t="str">
        <f>IF($CQ296="Y",VLOOKUP($CM296,'SBA Size Standards'!$B$3:$G$57,MATCH('SBA Size Standards'!$G$3,'SBA Size Standards'!$B$3:$G$3,0),FALSE),"")</f>
        <v>Revenue</v>
      </c>
      <c r="CT296" s="60">
        <f>IF(CQ296="Y",IF($CS296="Employment","N/A",VLOOKUP($CM296,'SBA Size Standards'!$B$3:$G$57,MATCH('SBA Size Standards'!$E$3,'SBA Size Standards'!$B$3:$G$3,0),FALSE)),"")</f>
        <v>41500000</v>
      </c>
      <c r="CU296" s="86" t="str">
        <f>IF($CQ296="Y",IF($CS296="Revenue","N/A",VLOOKUP($CM296,'SBA Size Standards'!$B$3:$G$57,MATCH('SBA Size Standards'!$F$3,'SBA Size Standards'!$B$3:$G$3,0),FALSE)),"")</f>
        <v>N/A</v>
      </c>
      <c r="CV296" t="str">
        <f>IF($CQ296="Y",IF(OR(AND($CS296="Employment",$CL296&lt;$CU296),AND($CS296="Revenue",$CK296&lt;$CT296)),"YES","NO"),"")</f>
        <v>YES</v>
      </c>
      <c r="CW296" s="90" t="str">
        <f>IF($CQ296="Y",INDEX('SBA Size Standards'!$N$3:$N$12,MATCH($CK296,'SBA Size Standards'!$O$3:$O$12,1)),"")</f>
        <v>$100,001 - $500,000</v>
      </c>
      <c r="CX296" s="122" t="s">
        <v>4637</v>
      </c>
      <c r="CY296" s="122">
        <f>INDEX('NM O&amp;G Production'!$P$3:$P$537,MATCH(CX296,'NM O&amp;G Production'!$Q$3:$Q$537,0))</f>
        <v>214</v>
      </c>
      <c r="CZ296" s="122" t="str">
        <f>INDEX('NM O&amp;G Production'!$O$3:$O$537,MATCH(CY296,'NM O&amp;G Production'!$P$3:$P$537,0))</f>
        <v>Yes</v>
      </c>
      <c r="DA296" s="127">
        <f>INDEX('NM O&amp;G Production'!$K$3:$O$537,MATCH($CY296,'NM O&amp;G Production'!$P$3:$P$537,0),MATCH(DA$2,'NM O&amp;G Production'!$K$2:$O$2,0))</f>
        <v>2</v>
      </c>
      <c r="DB296" s="127">
        <f>INDEX('NM O&amp;G Production'!$K$3:$O$537,MATCH($CY296,'NM O&amp;G Production'!$P$3:$P$537,0),MATCH(DB$2,'NM O&amp;G Production'!$K$2:$O$2,0))</f>
        <v>6</v>
      </c>
      <c r="DC296" s="127">
        <f>DA296+DB296</f>
        <v>8</v>
      </c>
      <c r="DD296" s="127">
        <f>INDEX('NM O&amp;G Production'!$K$3:$O$537,MATCH($CY296,'NM O&amp;G Production'!$P$3:$P$537,0),MATCH(DD$2,'NM O&amp;G Production'!$K$2:$O$2,0))</f>
        <v>6425</v>
      </c>
      <c r="DE296" s="127">
        <f>INDEX('NM O&amp;G Production'!$K$3:$O$537,MATCH($CY296,'NM O&amp;G Production'!$P$3:$P$537,0),MATCH(DE$2,'NM O&amp;G Production'!$K$2:$O$2,0))</f>
        <v>23332</v>
      </c>
      <c r="DF296" s="258">
        <f>CK296/(DB296+DA296)</f>
        <v>61889</v>
      </c>
      <c r="DG296" s="57">
        <f>DD296*(12/18)*1.06*'Oil and Gas Prices'!$C$18</f>
        <v>10851.396666666666</v>
      </c>
      <c r="DH296" s="284">
        <f>DE296*(12/18)*'Oil and Gas Prices'!$C$4</f>
        <v>699960</v>
      </c>
      <c r="DI296" s="284">
        <f>DG296+DH296</f>
        <v>710811.39666666661</v>
      </c>
      <c r="DJ296" s="57">
        <f>(DG296+DH296)/(DA296+DB296)</f>
        <v>88851.424583333326</v>
      </c>
      <c r="DK296" s="319"/>
    </row>
    <row r="297" spans="1:115" x14ac:dyDescent="0.25">
      <c r="A297" t="s">
        <v>2201</v>
      </c>
      <c r="B297" t="s">
        <v>2202</v>
      </c>
      <c r="D297" t="s">
        <v>2203</v>
      </c>
      <c r="E297" t="s">
        <v>80</v>
      </c>
      <c r="F297">
        <v>75080</v>
      </c>
      <c r="G297" t="s">
        <v>62</v>
      </c>
      <c r="I297">
        <v>311</v>
      </c>
      <c r="J297" t="s">
        <v>89</v>
      </c>
      <c r="K297" t="s">
        <v>4133</v>
      </c>
      <c r="L297" t="s">
        <v>64</v>
      </c>
      <c r="M297">
        <v>10</v>
      </c>
      <c r="N297" t="s">
        <v>2204</v>
      </c>
      <c r="O297" t="s">
        <v>2205</v>
      </c>
      <c r="Q297" t="s">
        <v>2206</v>
      </c>
      <c r="R297" t="s">
        <v>2203</v>
      </c>
      <c r="S297" t="s">
        <v>94</v>
      </c>
      <c r="T297" t="s">
        <v>2207</v>
      </c>
      <c r="U297" t="s">
        <v>62</v>
      </c>
      <c r="V297">
        <v>9724799701</v>
      </c>
      <c r="W297" s="1">
        <v>491580</v>
      </c>
      <c r="X297">
        <v>6</v>
      </c>
      <c r="Y297">
        <v>6</v>
      </c>
      <c r="Z297">
        <v>1976</v>
      </c>
      <c r="AA297" t="s">
        <v>70</v>
      </c>
      <c r="AB297" t="s">
        <v>2208</v>
      </c>
      <c r="AC297" t="s">
        <v>98</v>
      </c>
      <c r="AD297" t="s">
        <v>99</v>
      </c>
      <c r="AE297">
        <v>1311</v>
      </c>
      <c r="AF297" t="s">
        <v>100</v>
      </c>
      <c r="AI297">
        <v>13110101</v>
      </c>
      <c r="AJ297" t="s">
        <v>102</v>
      </c>
      <c r="AM297">
        <v>211120</v>
      </c>
      <c r="AN297" t="s">
        <v>104</v>
      </c>
      <c r="AQ297" t="s">
        <v>75</v>
      </c>
      <c r="AT297" t="s">
        <v>76</v>
      </c>
      <c r="BF297">
        <v>0</v>
      </c>
      <c r="BG297">
        <v>0</v>
      </c>
      <c r="CK297" s="19">
        <f>IF(BQ297&gt;0,BQ297,W297)</f>
        <v>491580</v>
      </c>
      <c r="CL297" s="20">
        <f>IF(BS297&gt;0,BS297,Y297)</f>
        <v>6</v>
      </c>
      <c r="CM297" s="34">
        <f>IF(CG297&gt;0,CG297,AM297)</f>
        <v>211120</v>
      </c>
      <c r="CN297" s="80">
        <f>IF($BH297="",1,COUNTIF($BH$3:$BH297,$BH297))</f>
        <v>1</v>
      </c>
      <c r="CP297" t="str">
        <f>IF($K297="Standard Match","Match",IF($K297="Name Only Match",IF($CO297="Yes","Match","Name Only Match"),"No Match"))</f>
        <v>Match</v>
      </c>
      <c r="CQ297" s="35" t="str">
        <f>IF(AND(CP297="Match",CK297&gt;0,CL297&gt;0),"Y","N")</f>
        <v>Y</v>
      </c>
      <c r="CS297" t="str">
        <f>IF($CQ297="Y",VLOOKUP($CM297,'SBA Size Standards'!$B$3:$G$57,MATCH('SBA Size Standards'!$G$3,'SBA Size Standards'!$B$3:$G$3,0),FALSE),"")</f>
        <v>Employment</v>
      </c>
      <c r="CT297" s="60" t="str">
        <f>IF(CQ297="Y",IF($CS297="Employment","N/A",VLOOKUP($CM297,'SBA Size Standards'!$B$3:$G$57,MATCH('SBA Size Standards'!$E$3,'SBA Size Standards'!$B$3:$G$3,0),FALSE)),"")</f>
        <v>N/A</v>
      </c>
      <c r="CU297" s="86">
        <f>IF($CQ297="Y",IF($CS297="Revenue","N/A",VLOOKUP($CM297,'SBA Size Standards'!$B$3:$G$57,MATCH('SBA Size Standards'!$F$3,'SBA Size Standards'!$B$3:$G$3,0),FALSE)),"")</f>
        <v>1250</v>
      </c>
      <c r="CV297" t="str">
        <f>IF($CQ297="Y",IF(OR(AND($CS297="Employment",$CL297&lt;$CU297),AND($CS297="Revenue",$CK297&lt;$CT297)),"YES","NO"),"")</f>
        <v>YES</v>
      </c>
      <c r="CW297" s="90" t="str">
        <f>IF($CQ297="Y",INDEX('SBA Size Standards'!$N$3:$N$12,MATCH($CK297,'SBA Size Standards'!$O$3:$O$12,1)),"")</f>
        <v>$100,001 - $500,000</v>
      </c>
      <c r="CX297" s="122" t="s">
        <v>4681</v>
      </c>
      <c r="CY297" s="122">
        <f>INDEX('NM O&amp;G Production'!$P$3:$P$537,MATCH(CX297,'NM O&amp;G Production'!$Q$3:$Q$537,0))</f>
        <v>311</v>
      </c>
      <c r="CZ297" s="122" t="str">
        <f>INDEX('NM O&amp;G Production'!$O$3:$O$537,MATCH(CY297,'NM O&amp;G Production'!$P$3:$P$537,0))</f>
        <v>Yes</v>
      </c>
      <c r="DA297" s="127">
        <f>INDEX('NM O&amp;G Production'!$K$3:$O$537,MATCH($CY297,'NM O&amp;G Production'!$P$3:$P$537,0),MATCH(DA$2,'NM O&amp;G Production'!$K$2:$O$2,0))</f>
        <v>0</v>
      </c>
      <c r="DB297" s="127">
        <f>INDEX('NM O&amp;G Production'!$K$3:$O$537,MATCH($CY297,'NM O&amp;G Production'!$P$3:$P$537,0),MATCH(DB$2,'NM O&amp;G Production'!$K$2:$O$2,0))</f>
        <v>10</v>
      </c>
      <c r="DC297" s="127">
        <f>DA297+DB297</f>
        <v>10</v>
      </c>
      <c r="DD297" s="127">
        <f>INDEX('NM O&amp;G Production'!$K$3:$O$537,MATCH($CY297,'NM O&amp;G Production'!$P$3:$P$537,0),MATCH(DD$2,'NM O&amp;G Production'!$K$2:$O$2,0))</f>
        <v>87146</v>
      </c>
      <c r="DE297" s="127">
        <f>INDEX('NM O&amp;G Production'!$K$3:$O$537,MATCH($CY297,'NM O&amp;G Production'!$P$3:$P$537,0),MATCH(DE$2,'NM O&amp;G Production'!$K$2:$O$2,0))</f>
        <v>1383</v>
      </c>
      <c r="DF297" s="258">
        <f>CK297/(DB297+DA297)</f>
        <v>49158</v>
      </c>
      <c r="DG297" s="57">
        <f>DD297*(12/18)*1.06*'Oil and Gas Prices'!$C$18</f>
        <v>147183.78426666668</v>
      </c>
      <c r="DH297" s="284">
        <f>DE297*(12/18)*'Oil and Gas Prices'!$C$4</f>
        <v>41490</v>
      </c>
      <c r="DI297" s="284">
        <f>DG297+DH297</f>
        <v>188673.78426666668</v>
      </c>
      <c r="DJ297" s="57">
        <f>(DG297+DH297)/(DA297+DB297)</f>
        <v>18867.37842666667</v>
      </c>
      <c r="DK297" s="318"/>
    </row>
    <row r="298" spans="1:115" x14ac:dyDescent="0.25">
      <c r="A298" t="s">
        <v>2647</v>
      </c>
      <c r="B298" t="s">
        <v>2648</v>
      </c>
      <c r="D298" t="s">
        <v>83</v>
      </c>
      <c r="E298" t="s">
        <v>84</v>
      </c>
      <c r="F298">
        <v>88210</v>
      </c>
      <c r="G298" t="s">
        <v>62</v>
      </c>
      <c r="I298">
        <v>383</v>
      </c>
      <c r="J298" t="s">
        <v>89</v>
      </c>
      <c r="K298" t="s">
        <v>4133</v>
      </c>
      <c r="L298" t="s">
        <v>149</v>
      </c>
      <c r="M298">
        <v>10</v>
      </c>
      <c r="N298" t="s">
        <v>2649</v>
      </c>
      <c r="O298" t="s">
        <v>2650</v>
      </c>
      <c r="Q298" t="s">
        <v>2651</v>
      </c>
      <c r="R298" t="s">
        <v>83</v>
      </c>
      <c r="S298" t="s">
        <v>214</v>
      </c>
      <c r="T298" t="s">
        <v>2652</v>
      </c>
      <c r="U298" t="s">
        <v>62</v>
      </c>
      <c r="V298">
        <v>5757363535</v>
      </c>
      <c r="W298" s="1">
        <v>480000</v>
      </c>
      <c r="X298">
        <v>5</v>
      </c>
      <c r="Y298">
        <v>5</v>
      </c>
      <c r="Z298">
        <v>2011</v>
      </c>
      <c r="AA298" t="s">
        <v>70</v>
      </c>
      <c r="AB298" t="s">
        <v>2653</v>
      </c>
      <c r="AC298" t="s">
        <v>98</v>
      </c>
      <c r="AD298" t="s">
        <v>551</v>
      </c>
      <c r="AE298">
        <v>8711</v>
      </c>
      <c r="AF298" t="s">
        <v>507</v>
      </c>
      <c r="AG298">
        <v>8748</v>
      </c>
      <c r="AH298" t="s">
        <v>657</v>
      </c>
      <c r="AI298">
        <v>87119906</v>
      </c>
      <c r="AJ298" t="s">
        <v>1356</v>
      </c>
      <c r="AK298">
        <v>87489904</v>
      </c>
      <c r="AL298" t="s">
        <v>934</v>
      </c>
      <c r="AM298">
        <v>541330</v>
      </c>
      <c r="AN298" t="s">
        <v>507</v>
      </c>
      <c r="AO298">
        <v>541690</v>
      </c>
      <c r="AP298" t="s">
        <v>935</v>
      </c>
      <c r="AQ298" t="s">
        <v>75</v>
      </c>
      <c r="AT298" t="s">
        <v>76</v>
      </c>
      <c r="BF298">
        <v>0</v>
      </c>
      <c r="BG298">
        <v>0</v>
      </c>
      <c r="CK298" s="19">
        <f>IF(BQ298&gt;0,BQ298,W298)</f>
        <v>480000</v>
      </c>
      <c r="CL298" s="20">
        <f>IF(BS298&gt;0,BS298,Y298)</f>
        <v>5</v>
      </c>
      <c r="CM298" s="34">
        <f>IF(CG298&gt;0,CG298,AM298)</f>
        <v>541330</v>
      </c>
      <c r="CN298" s="80">
        <f>IF($BH298="",1,COUNTIF($BH$3:$BH298,$BH298))</f>
        <v>1</v>
      </c>
      <c r="CP298" t="str">
        <f>IF($K298="Standard Match","Match",IF($K298="Name Only Match",IF($CO298="Yes","Match","Name Only Match"),"No Match"))</f>
        <v>Match</v>
      </c>
      <c r="CQ298" s="35" t="str">
        <f>IF(AND(CP298="Match",CK298&gt;0,CL298&gt;0),"Y","N")</f>
        <v>Y</v>
      </c>
      <c r="CS298" t="str">
        <f>IF($CQ298="Y",VLOOKUP($CM298,'SBA Size Standards'!$B$3:$G$57,MATCH('SBA Size Standards'!$G$3,'SBA Size Standards'!$B$3:$G$3,0),FALSE),"")</f>
        <v>Revenue</v>
      </c>
      <c r="CT298" s="60">
        <f>IF(CQ298="Y",IF($CS298="Employment","N/A",VLOOKUP($CM298,'SBA Size Standards'!$B$3:$G$57,MATCH('SBA Size Standards'!$E$3,'SBA Size Standards'!$B$3:$G$3,0),FALSE)),"")</f>
        <v>16500000</v>
      </c>
      <c r="CU298" s="86" t="str">
        <f>IF($CQ298="Y",IF($CS298="Revenue","N/A",VLOOKUP($CM298,'SBA Size Standards'!$B$3:$G$57,MATCH('SBA Size Standards'!$F$3,'SBA Size Standards'!$B$3:$G$3,0),FALSE)),"")</f>
        <v>N/A</v>
      </c>
      <c r="CV298" t="str">
        <f>IF($CQ298="Y",IF(OR(AND($CS298="Employment",$CL298&lt;$CU298),AND($CS298="Revenue",$CK298&lt;$CT298)),"YES","NO"),"")</f>
        <v>YES</v>
      </c>
      <c r="CW298" s="90" t="str">
        <f>IF($CQ298="Y",INDEX('SBA Size Standards'!$N$3:$N$12,MATCH($CK298,'SBA Size Standards'!$O$3:$O$12,1)),"")</f>
        <v>$100,001 - $500,000</v>
      </c>
      <c r="CX298" s="122" t="s">
        <v>4714</v>
      </c>
      <c r="CY298" s="122">
        <f>INDEX('NM O&amp;G Production'!$P$3:$P$537,MATCH(CX298,'NM O&amp;G Production'!$Q$3:$Q$537,0))</f>
        <v>383</v>
      </c>
      <c r="CZ298" s="122" t="str">
        <f>INDEX('NM O&amp;G Production'!$O$3:$O$537,MATCH(CY298,'NM O&amp;G Production'!$P$3:$P$537,0))</f>
        <v>Yes</v>
      </c>
      <c r="DA298" s="127">
        <f>INDEX('NM O&amp;G Production'!$K$3:$O$537,MATCH($CY298,'NM O&amp;G Production'!$P$3:$P$537,0),MATCH(DA$2,'NM O&amp;G Production'!$K$2:$O$2,0))</f>
        <v>5</v>
      </c>
      <c r="DB298" s="127">
        <f>INDEX('NM O&amp;G Production'!$K$3:$O$537,MATCH($CY298,'NM O&amp;G Production'!$P$3:$P$537,0),MATCH(DB$2,'NM O&amp;G Production'!$K$2:$O$2,0))</f>
        <v>1</v>
      </c>
      <c r="DC298" s="127">
        <f>DA298+DB298</f>
        <v>6</v>
      </c>
      <c r="DD298" s="127">
        <f>INDEX('NM O&amp;G Production'!$K$3:$O$537,MATCH($CY298,'NM O&amp;G Production'!$P$3:$P$537,0),MATCH(DD$2,'NM O&amp;G Production'!$K$2:$O$2,0))</f>
        <v>351115</v>
      </c>
      <c r="DE298" s="127">
        <f>INDEX('NM O&amp;G Production'!$K$3:$O$537,MATCH($CY298,'NM O&amp;G Production'!$P$3:$P$537,0),MATCH(DE$2,'NM O&amp;G Production'!$K$2:$O$2,0))</f>
        <v>204759</v>
      </c>
      <c r="DF298" s="258">
        <f>CK298/(DB298+DA298)</f>
        <v>80000</v>
      </c>
      <c r="DG298" s="57">
        <f>DD298*(12/18)*1.06*'Oil and Gas Prices'!$C$18</f>
        <v>593009.82733333332</v>
      </c>
      <c r="DH298" s="284">
        <f>DE298*(12/18)*'Oil and Gas Prices'!$C$4</f>
        <v>6142770</v>
      </c>
      <c r="DI298" s="284">
        <f>DG298+DH298</f>
        <v>6735779.827333333</v>
      </c>
      <c r="DJ298" s="57">
        <f>(DG298+DH298)/(DA298+DB298)</f>
        <v>1122629.9712222221</v>
      </c>
      <c r="DK298" s="319"/>
    </row>
    <row r="299" spans="1:115" x14ac:dyDescent="0.25">
      <c r="A299" t="s">
        <v>2374</v>
      </c>
      <c r="B299" t="s">
        <v>2375</v>
      </c>
      <c r="D299" t="s">
        <v>2376</v>
      </c>
      <c r="E299" t="s">
        <v>2377</v>
      </c>
      <c r="F299">
        <v>67052</v>
      </c>
      <c r="G299" t="s">
        <v>62</v>
      </c>
      <c r="I299">
        <v>336</v>
      </c>
      <c r="J299" t="s">
        <v>63</v>
      </c>
      <c r="K299" t="s">
        <v>4133</v>
      </c>
      <c r="L299" t="s">
        <v>149</v>
      </c>
      <c r="M299">
        <v>10</v>
      </c>
      <c r="N299" t="s">
        <v>2378</v>
      </c>
      <c r="O299" t="s">
        <v>2379</v>
      </c>
      <c r="Q299" t="s">
        <v>2380</v>
      </c>
      <c r="R299" t="s">
        <v>2376</v>
      </c>
      <c r="S299" t="s">
        <v>2381</v>
      </c>
      <c r="T299" t="s">
        <v>2382</v>
      </c>
      <c r="U299" t="s">
        <v>62</v>
      </c>
      <c r="V299">
        <v>3167947200</v>
      </c>
      <c r="W299" s="1">
        <v>476592</v>
      </c>
      <c r="X299">
        <v>3</v>
      </c>
      <c r="Y299">
        <v>3</v>
      </c>
      <c r="Z299">
        <v>1995</v>
      </c>
      <c r="AA299" t="s">
        <v>70</v>
      </c>
      <c r="AB299" t="s">
        <v>2383</v>
      </c>
      <c r="AC299" t="s">
        <v>98</v>
      </c>
      <c r="AD299" t="s">
        <v>99</v>
      </c>
      <c r="AE299">
        <v>1311</v>
      </c>
      <c r="AF299" t="s">
        <v>100</v>
      </c>
      <c r="AI299">
        <v>13110101</v>
      </c>
      <c r="AJ299" t="s">
        <v>102</v>
      </c>
      <c r="AM299">
        <v>211120</v>
      </c>
      <c r="AN299" t="s">
        <v>104</v>
      </c>
      <c r="AQ299" t="s">
        <v>75</v>
      </c>
      <c r="AT299" t="s">
        <v>76</v>
      </c>
      <c r="BF299">
        <v>0</v>
      </c>
      <c r="BG299">
        <v>0</v>
      </c>
      <c r="CK299" s="19">
        <f>IF(BQ299&gt;0,BQ299,W299)</f>
        <v>476592</v>
      </c>
      <c r="CL299" s="20">
        <f>IF(BS299&gt;0,BS299,Y299)</f>
        <v>3</v>
      </c>
      <c r="CM299" s="34">
        <f>IF(CG299&gt;0,CG299,AM299)</f>
        <v>211120</v>
      </c>
      <c r="CN299" s="80">
        <f>IF($BH299="",1,COUNTIF($BH$3:$BH299,$BH299))</f>
        <v>1</v>
      </c>
      <c r="CP299" t="str">
        <f>IF($K299="Standard Match","Match",IF($K299="Name Only Match",IF($CO299="Yes","Match","Name Only Match"),"No Match"))</f>
        <v>Match</v>
      </c>
      <c r="CQ299" s="35" t="str">
        <f>IF(AND(CP299="Match",CK299&gt;0,CL299&gt;0),"Y","N")</f>
        <v>Y</v>
      </c>
      <c r="CS299" t="str">
        <f>IF($CQ299="Y",VLOOKUP($CM299,'SBA Size Standards'!$B$3:$G$57,MATCH('SBA Size Standards'!$G$3,'SBA Size Standards'!$B$3:$G$3,0),FALSE),"")</f>
        <v>Employment</v>
      </c>
      <c r="CT299" s="60" t="str">
        <f>IF(CQ299="Y",IF($CS299="Employment","N/A",VLOOKUP($CM299,'SBA Size Standards'!$B$3:$G$57,MATCH('SBA Size Standards'!$E$3,'SBA Size Standards'!$B$3:$G$3,0),FALSE)),"")</f>
        <v>N/A</v>
      </c>
      <c r="CU299" s="86">
        <f>IF($CQ299="Y",IF($CS299="Revenue","N/A",VLOOKUP($CM299,'SBA Size Standards'!$B$3:$G$57,MATCH('SBA Size Standards'!$F$3,'SBA Size Standards'!$B$3:$G$3,0),FALSE)),"")</f>
        <v>1250</v>
      </c>
      <c r="CV299" t="str">
        <f>IF($CQ299="Y",IF(OR(AND($CS299="Employment",$CL299&lt;$CU299),AND($CS299="Revenue",$CK299&lt;$CT299)),"YES","NO"),"")</f>
        <v>YES</v>
      </c>
      <c r="CW299" s="90" t="str">
        <f>IF($CQ299="Y",INDEX('SBA Size Standards'!$N$3:$N$12,MATCH($CK299,'SBA Size Standards'!$O$3:$O$12,1)),"")</f>
        <v>$100,001 - $500,000</v>
      </c>
      <c r="CX299" s="122" t="s">
        <v>4691</v>
      </c>
      <c r="CY299" s="122">
        <f>INDEX('NM O&amp;G Production'!$P$3:$P$537,MATCH(CX299,'NM O&amp;G Production'!$Q$3:$Q$537,0))</f>
        <v>336</v>
      </c>
      <c r="CZ299" s="122" t="str">
        <f>INDEX('NM O&amp;G Production'!$O$3:$O$537,MATCH(CY299,'NM O&amp;G Production'!$P$3:$P$537,0))</f>
        <v>Yes</v>
      </c>
      <c r="DA299" s="127">
        <f>INDEX('NM O&amp;G Production'!$K$3:$O$537,MATCH($CY299,'NM O&amp;G Production'!$P$3:$P$537,0),MATCH(DA$2,'NM O&amp;G Production'!$K$2:$O$2,0))</f>
        <v>0</v>
      </c>
      <c r="DB299" s="127">
        <f>INDEX('NM O&amp;G Production'!$K$3:$O$537,MATCH($CY299,'NM O&amp;G Production'!$P$3:$P$537,0),MATCH(DB$2,'NM O&amp;G Production'!$K$2:$O$2,0))</f>
        <v>1</v>
      </c>
      <c r="DC299" s="127">
        <f>DA299+DB299</f>
        <v>1</v>
      </c>
      <c r="DD299" s="127">
        <f>INDEX('NM O&amp;G Production'!$K$3:$O$537,MATCH($CY299,'NM O&amp;G Production'!$P$3:$P$537,0),MATCH(DD$2,'NM O&amp;G Production'!$K$2:$O$2,0))</f>
        <v>22403</v>
      </c>
      <c r="DE299" s="127">
        <f>INDEX('NM O&amp;G Production'!$K$3:$O$537,MATCH($CY299,'NM O&amp;G Production'!$P$3:$P$537,0),MATCH(DE$2,'NM O&amp;G Production'!$K$2:$O$2,0))</f>
        <v>2856</v>
      </c>
      <c r="DF299" s="258">
        <f>CK299/(DB299+DA299)</f>
        <v>476592</v>
      </c>
      <c r="DG299" s="57">
        <f>DD299*(12/18)*1.06*'Oil and Gas Prices'!$C$18</f>
        <v>37837.173466666667</v>
      </c>
      <c r="DH299" s="284">
        <f>DE299*(12/18)*'Oil and Gas Prices'!$C$4</f>
        <v>85680</v>
      </c>
      <c r="DI299" s="284">
        <f>DG299+DH299</f>
        <v>123517.17346666666</v>
      </c>
      <c r="DJ299" s="57">
        <f>(DG299+DH299)/(DA299+DB299)</f>
        <v>123517.17346666666</v>
      </c>
      <c r="DK299" s="319"/>
    </row>
    <row r="300" spans="1:115" x14ac:dyDescent="0.25">
      <c r="A300" t="s">
        <v>1553</v>
      </c>
      <c r="B300" t="s">
        <v>1554</v>
      </c>
      <c r="D300" t="s">
        <v>1555</v>
      </c>
      <c r="E300" t="s">
        <v>84</v>
      </c>
      <c r="F300">
        <v>87013</v>
      </c>
      <c r="G300" t="s">
        <v>62</v>
      </c>
      <c r="I300">
        <v>211</v>
      </c>
      <c r="J300" t="s">
        <v>63</v>
      </c>
      <c r="K300" t="s">
        <v>4133</v>
      </c>
      <c r="L300" t="s">
        <v>149</v>
      </c>
      <c r="M300">
        <v>10</v>
      </c>
      <c r="N300" t="s">
        <v>1556</v>
      </c>
      <c r="O300" t="s">
        <v>1557</v>
      </c>
      <c r="Q300" t="s">
        <v>1558</v>
      </c>
      <c r="R300" t="s">
        <v>1559</v>
      </c>
      <c r="S300" t="s">
        <v>214</v>
      </c>
      <c r="T300" t="s">
        <v>1560</v>
      </c>
      <c r="U300" t="s">
        <v>62</v>
      </c>
      <c r="V300">
        <v>5053935466</v>
      </c>
      <c r="W300" s="1">
        <v>461137</v>
      </c>
      <c r="X300">
        <v>4</v>
      </c>
      <c r="Y300">
        <v>4</v>
      </c>
      <c r="Z300">
        <v>2006</v>
      </c>
      <c r="AA300" t="s">
        <v>70</v>
      </c>
      <c r="AB300" t="s">
        <v>1561</v>
      </c>
      <c r="AC300" t="s">
        <v>145</v>
      </c>
      <c r="AD300" t="s">
        <v>119</v>
      </c>
      <c r="AE300">
        <v>1382</v>
      </c>
      <c r="AF300" t="s">
        <v>120</v>
      </c>
      <c r="AG300">
        <v>1311</v>
      </c>
      <c r="AH300" t="s">
        <v>100</v>
      </c>
      <c r="AI300">
        <v>13820000</v>
      </c>
      <c r="AJ300" t="s">
        <v>119</v>
      </c>
      <c r="AK300">
        <v>13110000</v>
      </c>
      <c r="AL300" t="s">
        <v>276</v>
      </c>
      <c r="AM300">
        <v>213112</v>
      </c>
      <c r="AN300" t="s">
        <v>74</v>
      </c>
      <c r="AO300">
        <v>211120</v>
      </c>
      <c r="AP300" t="s">
        <v>104</v>
      </c>
      <c r="AQ300" t="s">
        <v>75</v>
      </c>
      <c r="AT300" t="s">
        <v>76</v>
      </c>
      <c r="BF300">
        <v>0</v>
      </c>
      <c r="BG300">
        <v>0</v>
      </c>
      <c r="CK300" s="19">
        <f>IF(BQ300&gt;0,BQ300,W300)</f>
        <v>461137</v>
      </c>
      <c r="CL300" s="20">
        <f>IF(BS300&gt;0,BS300,Y300)</f>
        <v>4</v>
      </c>
      <c r="CM300" s="34">
        <f>IF(CG300&gt;0,CG300,AM300)</f>
        <v>213112</v>
      </c>
      <c r="CN300" s="80">
        <f>IF($BH300="",1,COUNTIF($BH$3:$BH300,$BH300))</f>
        <v>1</v>
      </c>
      <c r="CP300" t="str">
        <f>IF($K300="Standard Match","Match",IF($K300="Name Only Match",IF($CO300="Yes","Match","Name Only Match"),"No Match"))</f>
        <v>Match</v>
      </c>
      <c r="CQ300" s="35" t="str">
        <f>IF(AND(CP300="Match",CK300&gt;0,CL300&gt;0),"Y","N")</f>
        <v>Y</v>
      </c>
      <c r="CS300" t="str">
        <f>IF($CQ300="Y",VLOOKUP($CM300,'SBA Size Standards'!$B$3:$G$57,MATCH('SBA Size Standards'!$G$3,'SBA Size Standards'!$B$3:$G$3,0),FALSE),"")</f>
        <v>Revenue</v>
      </c>
      <c r="CT300" s="60">
        <f>IF(CQ300="Y",IF($CS300="Employment","N/A",VLOOKUP($CM300,'SBA Size Standards'!$B$3:$G$57,MATCH('SBA Size Standards'!$E$3,'SBA Size Standards'!$B$3:$G$3,0),FALSE)),"")</f>
        <v>41500000</v>
      </c>
      <c r="CU300" s="86" t="str">
        <f>IF($CQ300="Y",IF($CS300="Revenue","N/A",VLOOKUP($CM300,'SBA Size Standards'!$B$3:$G$57,MATCH('SBA Size Standards'!$F$3,'SBA Size Standards'!$B$3:$G$3,0),FALSE)),"")</f>
        <v>N/A</v>
      </c>
      <c r="CV300" t="str">
        <f>IF($CQ300="Y",IF(OR(AND($CS300="Employment",$CL300&lt;$CU300),AND($CS300="Revenue",$CK300&lt;$CT300)),"YES","NO"),"")</f>
        <v>YES</v>
      </c>
      <c r="CW300" s="90" t="str">
        <f>IF($CQ300="Y",INDEX('SBA Size Standards'!$N$3:$N$12,MATCH($CK300,'SBA Size Standards'!$O$3:$O$12,1)),"")</f>
        <v>$100,001 - $500,000</v>
      </c>
      <c r="CX300" s="122" t="s">
        <v>4635</v>
      </c>
      <c r="CY300" s="122">
        <f>INDEX('NM O&amp;G Production'!$P$3:$P$537,MATCH(CX300,'NM O&amp;G Production'!$Q$3:$Q$537,0))</f>
        <v>211</v>
      </c>
      <c r="CZ300" s="122" t="str">
        <f>INDEX('NM O&amp;G Production'!$O$3:$O$537,MATCH(CY300,'NM O&amp;G Production'!$P$3:$P$537,0))</f>
        <v>Yes</v>
      </c>
      <c r="DA300" s="127">
        <f>INDEX('NM O&amp;G Production'!$K$3:$O$537,MATCH($CY300,'NM O&amp;G Production'!$P$3:$P$537,0),MATCH(DA$2,'NM O&amp;G Production'!$K$2:$O$2,0))</f>
        <v>2</v>
      </c>
      <c r="DB300" s="127">
        <f>INDEX('NM O&amp;G Production'!$K$3:$O$537,MATCH($CY300,'NM O&amp;G Production'!$P$3:$P$537,0),MATCH(DB$2,'NM O&amp;G Production'!$K$2:$O$2,0))</f>
        <v>1</v>
      </c>
      <c r="DC300" s="127">
        <f>DA300+DB300</f>
        <v>3</v>
      </c>
      <c r="DD300" s="127">
        <f>INDEX('NM O&amp;G Production'!$K$3:$O$537,MATCH($CY300,'NM O&amp;G Production'!$P$3:$P$537,0),MATCH(DD$2,'NM O&amp;G Production'!$K$2:$O$2,0))</f>
        <v>0</v>
      </c>
      <c r="DE300" s="127">
        <f>INDEX('NM O&amp;G Production'!$K$3:$O$537,MATCH($CY300,'NM O&amp;G Production'!$P$3:$P$537,0),MATCH(DE$2,'NM O&amp;G Production'!$K$2:$O$2,0))</f>
        <v>1552</v>
      </c>
      <c r="DF300" s="258">
        <f>CK300/(DB300+DA300)</f>
        <v>153712.33333333334</v>
      </c>
      <c r="DG300" s="57">
        <f>DD300*(12/18)*1.06*'Oil and Gas Prices'!$C$18</f>
        <v>0</v>
      </c>
      <c r="DH300" s="284">
        <f>DE300*(12/18)*'Oil and Gas Prices'!$C$4</f>
        <v>46559.999999999993</v>
      </c>
      <c r="DI300" s="284">
        <f>DG300+DH300</f>
        <v>46559.999999999993</v>
      </c>
      <c r="DJ300" s="57">
        <f>(DG300+DH300)/(DA300+DB300)</f>
        <v>15519.999999999998</v>
      </c>
      <c r="DK300" s="319"/>
    </row>
    <row r="301" spans="1:115" x14ac:dyDescent="0.25">
      <c r="A301" t="s">
        <v>2921</v>
      </c>
      <c r="B301" t="s">
        <v>1687</v>
      </c>
      <c r="D301" t="s">
        <v>1073</v>
      </c>
      <c r="E301" t="s">
        <v>84</v>
      </c>
      <c r="F301">
        <v>87125</v>
      </c>
      <c r="G301" t="s">
        <v>62</v>
      </c>
      <c r="I301">
        <v>425</v>
      </c>
      <c r="J301" t="s">
        <v>89</v>
      </c>
      <c r="K301" t="s">
        <v>4133</v>
      </c>
      <c r="L301" t="s">
        <v>279</v>
      </c>
      <c r="M301">
        <v>8</v>
      </c>
      <c r="N301" t="s">
        <v>2922</v>
      </c>
      <c r="O301" t="s">
        <v>2923</v>
      </c>
      <c r="Q301" t="s">
        <v>2924</v>
      </c>
      <c r="R301" t="s">
        <v>1073</v>
      </c>
      <c r="S301" t="s">
        <v>214</v>
      </c>
      <c r="T301" t="s">
        <v>2925</v>
      </c>
      <c r="U301" t="s">
        <v>62</v>
      </c>
      <c r="V301">
        <v>5058816649</v>
      </c>
      <c r="W301" s="1">
        <v>460000</v>
      </c>
      <c r="X301">
        <v>5</v>
      </c>
      <c r="Y301">
        <v>5</v>
      </c>
      <c r="AA301" t="s">
        <v>70</v>
      </c>
      <c r="AB301" t="s">
        <v>2926</v>
      </c>
      <c r="AC301" t="s">
        <v>98</v>
      </c>
      <c r="AD301" t="s">
        <v>99</v>
      </c>
      <c r="AE301">
        <v>1311</v>
      </c>
      <c r="AF301" t="s">
        <v>100</v>
      </c>
      <c r="AI301">
        <v>13110100</v>
      </c>
      <c r="AJ301" t="s">
        <v>411</v>
      </c>
      <c r="AM301">
        <v>211120</v>
      </c>
      <c r="AN301" t="s">
        <v>104</v>
      </c>
      <c r="AQ301" t="s">
        <v>75</v>
      </c>
      <c r="AT301" t="s">
        <v>76</v>
      </c>
      <c r="BF301">
        <v>0</v>
      </c>
      <c r="BG301">
        <v>0</v>
      </c>
      <c r="CK301" s="19">
        <f>IF(BQ301&gt;0,BQ301,W301)</f>
        <v>460000</v>
      </c>
      <c r="CL301" s="20">
        <f>IF(BS301&gt;0,BS301,Y301)</f>
        <v>5</v>
      </c>
      <c r="CM301" s="34">
        <f>IF(CG301&gt;0,CG301,AM301)</f>
        <v>211120</v>
      </c>
      <c r="CN301" s="80">
        <f>IF($BH301="",1,COUNTIF($BH$3:$BH301,$BH301))</f>
        <v>1</v>
      </c>
      <c r="CP301" t="str">
        <f>IF($K301="Standard Match","Match",IF($K301="Name Only Match",IF($CO301="Yes","Match","Name Only Match"),"No Match"))</f>
        <v>Match</v>
      </c>
      <c r="CQ301" s="35" t="str">
        <f>IF(AND(CP301="Match",CK301&gt;0,CL301&gt;0),"Y","N")</f>
        <v>Y</v>
      </c>
      <c r="CS301" t="str">
        <f>IF($CQ301="Y",VLOOKUP($CM301,'SBA Size Standards'!$B$3:$G$57,MATCH('SBA Size Standards'!$G$3,'SBA Size Standards'!$B$3:$G$3,0),FALSE),"")</f>
        <v>Employment</v>
      </c>
      <c r="CT301" s="60" t="str">
        <f>IF(CQ301="Y",IF($CS301="Employment","N/A",VLOOKUP($CM301,'SBA Size Standards'!$B$3:$G$57,MATCH('SBA Size Standards'!$E$3,'SBA Size Standards'!$B$3:$G$3,0),FALSE)),"")</f>
        <v>N/A</v>
      </c>
      <c r="CU301" s="86">
        <f>IF($CQ301="Y",IF($CS301="Revenue","N/A",VLOOKUP($CM301,'SBA Size Standards'!$B$3:$G$57,MATCH('SBA Size Standards'!$F$3,'SBA Size Standards'!$B$3:$G$3,0),FALSE)),"")</f>
        <v>1250</v>
      </c>
      <c r="CV301" t="str">
        <f>IF($CQ301="Y",IF(OR(AND($CS301="Employment",$CL301&lt;$CU301),AND($CS301="Revenue",$CK301&lt;$CT301)),"YES","NO"),"")</f>
        <v>YES</v>
      </c>
      <c r="CW301" s="90" t="str">
        <f>IF($CQ301="Y",INDEX('SBA Size Standards'!$N$3:$N$12,MATCH($CK301,'SBA Size Standards'!$O$3:$O$12,1)),"")</f>
        <v>$100,001 - $500,000</v>
      </c>
      <c r="CX301" s="122" t="s">
        <v>4900</v>
      </c>
      <c r="CY301" s="122">
        <f>INDEX('NM O&amp;G Production'!$P$3:$P$537,MATCH(CX301,'NM O&amp;G Production'!$Q$3:$Q$537,0))</f>
        <v>425</v>
      </c>
      <c r="CZ301" s="122" t="str">
        <f>INDEX('NM O&amp;G Production'!$O$3:$O$537,MATCH(CY301,'NM O&amp;G Production'!$P$3:$P$537,0))</f>
        <v>Yes</v>
      </c>
      <c r="DA301" s="127">
        <f>INDEX('NM O&amp;G Production'!$K$3:$O$537,MATCH($CY301,'NM O&amp;G Production'!$P$3:$P$537,0),MATCH(DA$2,'NM O&amp;G Production'!$K$2:$O$2,0))</f>
        <v>2</v>
      </c>
      <c r="DB301" s="127">
        <f>INDEX('NM O&amp;G Production'!$K$3:$O$537,MATCH($CY301,'NM O&amp;G Production'!$P$3:$P$537,0),MATCH(DB$2,'NM O&amp;G Production'!$K$2:$O$2,0))</f>
        <v>27</v>
      </c>
      <c r="DC301" s="127">
        <f>DA301+DB301</f>
        <v>29</v>
      </c>
      <c r="DD301" s="127">
        <f>INDEX('NM O&amp;G Production'!$K$3:$O$537,MATCH($CY301,'NM O&amp;G Production'!$P$3:$P$537,0),MATCH(DD$2,'NM O&amp;G Production'!$K$2:$O$2,0))</f>
        <v>477165</v>
      </c>
      <c r="DE301" s="127">
        <f>INDEX('NM O&amp;G Production'!$K$3:$O$537,MATCH($CY301,'NM O&amp;G Production'!$P$3:$P$537,0),MATCH(DE$2,'NM O&amp;G Production'!$K$2:$O$2,0))</f>
        <v>1426</v>
      </c>
      <c r="DF301" s="258">
        <f>CK301/(DB301+DA301)</f>
        <v>15862.068965517241</v>
      </c>
      <c r="DG301" s="57">
        <f>DD301*(12/18)*1.06*'Oil and Gas Prices'!$C$18</f>
        <v>805899.87400000007</v>
      </c>
      <c r="DH301" s="284">
        <f>DE301*(12/18)*'Oil and Gas Prices'!$C$4</f>
        <v>42780</v>
      </c>
      <c r="DI301" s="284">
        <f>DG301+DH301</f>
        <v>848679.87400000007</v>
      </c>
      <c r="DJ301" s="57">
        <f>(DG301+DH301)/(DA301+DB301)</f>
        <v>29264.823241379312</v>
      </c>
      <c r="DK301" s="318"/>
    </row>
    <row r="302" spans="1:115" x14ac:dyDescent="0.25">
      <c r="A302" t="s">
        <v>3254</v>
      </c>
      <c r="B302" t="s">
        <v>3255</v>
      </c>
      <c r="D302" t="s">
        <v>153</v>
      </c>
      <c r="E302" t="s">
        <v>80</v>
      </c>
      <c r="F302">
        <v>79710</v>
      </c>
      <c r="G302" t="s">
        <v>62</v>
      </c>
      <c r="I302">
        <v>479</v>
      </c>
      <c r="J302" t="s">
        <v>63</v>
      </c>
      <c r="K302" t="s">
        <v>4133</v>
      </c>
      <c r="L302" t="s">
        <v>149</v>
      </c>
      <c r="M302">
        <v>10</v>
      </c>
      <c r="N302" t="s">
        <v>3256</v>
      </c>
      <c r="O302" t="s">
        <v>3257</v>
      </c>
      <c r="P302" t="s">
        <v>3258</v>
      </c>
      <c r="Q302" t="s">
        <v>3259</v>
      </c>
      <c r="R302" t="s">
        <v>153</v>
      </c>
      <c r="S302" t="s">
        <v>94</v>
      </c>
      <c r="T302" t="s">
        <v>3260</v>
      </c>
      <c r="U302" t="s">
        <v>62</v>
      </c>
      <c r="V302">
        <v>4326821356</v>
      </c>
      <c r="W302" s="1">
        <v>440042</v>
      </c>
      <c r="X302">
        <v>3</v>
      </c>
      <c r="Y302">
        <v>3</v>
      </c>
      <c r="Z302">
        <v>1989</v>
      </c>
      <c r="AA302" t="s">
        <v>70</v>
      </c>
      <c r="AB302" t="s">
        <v>3261</v>
      </c>
      <c r="AC302" t="s">
        <v>98</v>
      </c>
      <c r="AD302" t="s">
        <v>99</v>
      </c>
      <c r="AE302">
        <v>1382</v>
      </c>
      <c r="AF302" t="s">
        <v>120</v>
      </c>
      <c r="AI302">
        <v>13820000</v>
      </c>
      <c r="AJ302" t="s">
        <v>119</v>
      </c>
      <c r="AM302">
        <v>211120</v>
      </c>
      <c r="AN302" t="s">
        <v>104</v>
      </c>
      <c r="AQ302" t="s">
        <v>75</v>
      </c>
      <c r="AT302" t="s">
        <v>76</v>
      </c>
      <c r="BF302">
        <v>0</v>
      </c>
      <c r="BG302">
        <v>0</v>
      </c>
      <c r="CK302" s="19">
        <f>IF(BQ302&gt;0,BQ302,W302)</f>
        <v>440042</v>
      </c>
      <c r="CL302" s="20">
        <f>IF(BS302&gt;0,BS302,Y302)</f>
        <v>3</v>
      </c>
      <c r="CM302" s="34">
        <f>IF(CG302&gt;0,CG302,AM302)</f>
        <v>211120</v>
      </c>
      <c r="CN302" s="80">
        <f>IF($BH302="",1,COUNTIF($BH$3:$BH302,$BH302))</f>
        <v>1</v>
      </c>
      <c r="CP302" t="str">
        <f>IF($K302="Standard Match","Match",IF($K302="Name Only Match",IF($CO302="Yes","Match","Name Only Match"),"No Match"))</f>
        <v>Match</v>
      </c>
      <c r="CQ302" s="35" t="str">
        <f>IF(AND(CP302="Match",CK302&gt;0,CL302&gt;0),"Y","N")</f>
        <v>Y</v>
      </c>
      <c r="CS302" t="str">
        <f>IF($CQ302="Y",VLOOKUP($CM302,'SBA Size Standards'!$B$3:$G$57,MATCH('SBA Size Standards'!$G$3,'SBA Size Standards'!$B$3:$G$3,0),FALSE),"")</f>
        <v>Employment</v>
      </c>
      <c r="CT302" s="60" t="str">
        <f>IF(CQ302="Y",IF($CS302="Employment","N/A",VLOOKUP($CM302,'SBA Size Standards'!$B$3:$G$57,MATCH('SBA Size Standards'!$E$3,'SBA Size Standards'!$B$3:$G$3,0),FALSE)),"")</f>
        <v>N/A</v>
      </c>
      <c r="CU302" s="86">
        <f>IF($CQ302="Y",IF($CS302="Revenue","N/A",VLOOKUP($CM302,'SBA Size Standards'!$B$3:$G$57,MATCH('SBA Size Standards'!$F$3,'SBA Size Standards'!$B$3:$G$3,0),FALSE)),"")</f>
        <v>1250</v>
      </c>
      <c r="CV302" t="str">
        <f>IF($CQ302="Y",IF(OR(AND($CS302="Employment",$CL302&lt;$CU302),AND($CS302="Revenue",$CK302&lt;$CT302)),"YES","NO"),"")</f>
        <v>YES</v>
      </c>
      <c r="CW302" s="90" t="str">
        <f>IF($CQ302="Y",INDEX('SBA Size Standards'!$N$3:$N$12,MATCH($CK302,'SBA Size Standards'!$O$3:$O$12,1)),"")</f>
        <v>$100,001 - $500,000</v>
      </c>
      <c r="CX302" s="122" t="s">
        <v>4765</v>
      </c>
      <c r="CY302" s="122">
        <f>INDEX('NM O&amp;G Production'!$P$3:$P$537,MATCH(CX302,'NM O&amp;G Production'!$Q$3:$Q$537,0))</f>
        <v>479</v>
      </c>
      <c r="CZ302" s="122" t="str">
        <f>INDEX('NM O&amp;G Production'!$O$3:$O$537,MATCH(CY302,'NM O&amp;G Production'!$P$3:$P$537,0))</f>
        <v>Yes</v>
      </c>
      <c r="DA302" s="127">
        <f>INDEX('NM O&amp;G Production'!$K$3:$O$537,MATCH($CY302,'NM O&amp;G Production'!$P$3:$P$537,0),MATCH(DA$2,'NM O&amp;G Production'!$K$2:$O$2,0))</f>
        <v>0</v>
      </c>
      <c r="DB302" s="127">
        <f>INDEX('NM O&amp;G Production'!$K$3:$O$537,MATCH($CY302,'NM O&amp;G Production'!$P$3:$P$537,0),MATCH(DB$2,'NM O&amp;G Production'!$K$2:$O$2,0))</f>
        <v>1</v>
      </c>
      <c r="DC302" s="127">
        <f>DA302+DB302</f>
        <v>1</v>
      </c>
      <c r="DD302" s="127">
        <f>INDEX('NM O&amp;G Production'!$K$3:$O$537,MATCH($CY302,'NM O&amp;G Production'!$P$3:$P$537,0),MATCH(DD$2,'NM O&amp;G Production'!$K$2:$O$2,0))</f>
        <v>598</v>
      </c>
      <c r="DE302" s="127">
        <f>INDEX('NM O&amp;G Production'!$K$3:$O$537,MATCH($CY302,'NM O&amp;G Production'!$P$3:$P$537,0),MATCH(DE$2,'NM O&amp;G Production'!$K$2:$O$2,0))</f>
        <v>1123</v>
      </c>
      <c r="DF302" s="258">
        <f>CK302/(DB302+DA302)</f>
        <v>440042</v>
      </c>
      <c r="DG302" s="57">
        <f>DD302*(12/18)*1.06*'Oil and Gas Prices'!$C$18</f>
        <v>1009.9821333333333</v>
      </c>
      <c r="DH302" s="284">
        <f>DE302*(12/18)*'Oil and Gas Prices'!$C$4</f>
        <v>33690</v>
      </c>
      <c r="DI302" s="284">
        <f>DG302+DH302</f>
        <v>34699.982133333331</v>
      </c>
      <c r="DJ302" s="57">
        <f>(DG302+DH302)/(DA302+DB302)</f>
        <v>34699.982133333331</v>
      </c>
      <c r="DK302" s="319"/>
    </row>
    <row r="303" spans="1:115" x14ac:dyDescent="0.25">
      <c r="A303" t="s">
        <v>2255</v>
      </c>
      <c r="B303" t="s">
        <v>2256</v>
      </c>
      <c r="D303" t="s">
        <v>153</v>
      </c>
      <c r="E303" t="s">
        <v>80</v>
      </c>
      <c r="F303">
        <v>79701</v>
      </c>
      <c r="G303" t="s">
        <v>62</v>
      </c>
      <c r="I303">
        <v>319</v>
      </c>
      <c r="J303" t="s">
        <v>63</v>
      </c>
      <c r="K303" t="s">
        <v>4133</v>
      </c>
      <c r="L303" t="s">
        <v>113</v>
      </c>
      <c r="M303">
        <v>8</v>
      </c>
      <c r="N303" t="s">
        <v>2257</v>
      </c>
      <c r="O303" t="s">
        <v>2258</v>
      </c>
      <c r="P303" t="s">
        <v>2259</v>
      </c>
      <c r="Q303" t="s">
        <v>2260</v>
      </c>
      <c r="R303" t="s">
        <v>153</v>
      </c>
      <c r="S303" t="s">
        <v>94</v>
      </c>
      <c r="T303" t="s">
        <v>2261</v>
      </c>
      <c r="U303" t="s">
        <v>62</v>
      </c>
      <c r="V303">
        <v>4326870323</v>
      </c>
      <c r="W303" s="1">
        <v>440000</v>
      </c>
      <c r="X303">
        <v>4</v>
      </c>
      <c r="Y303">
        <v>4</v>
      </c>
      <c r="Z303">
        <v>1983</v>
      </c>
      <c r="AA303" t="s">
        <v>70</v>
      </c>
      <c r="AB303" t="s">
        <v>2262</v>
      </c>
      <c r="AC303" t="s">
        <v>98</v>
      </c>
      <c r="AD303" t="s">
        <v>551</v>
      </c>
      <c r="AE303">
        <v>8711</v>
      </c>
      <c r="AF303" t="s">
        <v>507</v>
      </c>
      <c r="AG303">
        <v>8742</v>
      </c>
      <c r="AH303" t="s">
        <v>506</v>
      </c>
      <c r="AI303">
        <v>87110303</v>
      </c>
      <c r="AJ303" t="s">
        <v>1969</v>
      </c>
      <c r="AK303">
        <v>87420102</v>
      </c>
      <c r="AL303" t="s">
        <v>2263</v>
      </c>
      <c r="AM303">
        <v>541330</v>
      </c>
      <c r="AN303" t="s">
        <v>507</v>
      </c>
      <c r="AO303">
        <v>541611</v>
      </c>
      <c r="AP303" t="s">
        <v>510</v>
      </c>
      <c r="AQ303" t="s">
        <v>75</v>
      </c>
      <c r="AT303" t="s">
        <v>76</v>
      </c>
      <c r="BF303">
        <v>0</v>
      </c>
      <c r="BG303">
        <v>0</v>
      </c>
      <c r="CK303" s="19">
        <f>IF(BQ303&gt;0,BQ303,W303)</f>
        <v>440000</v>
      </c>
      <c r="CL303" s="20">
        <f>IF(BS303&gt;0,BS303,Y303)</f>
        <v>4</v>
      </c>
      <c r="CM303" s="34">
        <f>IF(CG303&gt;0,CG303,AM303)</f>
        <v>541330</v>
      </c>
      <c r="CN303" s="80">
        <f>IF($BH303="",1,COUNTIF($BH$3:$BH303,$BH303))</f>
        <v>1</v>
      </c>
      <c r="CP303" t="str">
        <f>IF($K303="Standard Match","Match",IF($K303="Name Only Match",IF($CO303="Yes","Match","Name Only Match"),"No Match"))</f>
        <v>Match</v>
      </c>
      <c r="CQ303" s="35" t="str">
        <f>IF(AND(CP303="Match",CK303&gt;0,CL303&gt;0),"Y","N")</f>
        <v>Y</v>
      </c>
      <c r="CS303" t="str">
        <f>IF($CQ303="Y",VLOOKUP($CM303,'SBA Size Standards'!$B$3:$G$57,MATCH('SBA Size Standards'!$G$3,'SBA Size Standards'!$B$3:$G$3,0),FALSE),"")</f>
        <v>Revenue</v>
      </c>
      <c r="CT303" s="60">
        <f>IF(CQ303="Y",IF($CS303="Employment","N/A",VLOOKUP($CM303,'SBA Size Standards'!$B$3:$G$57,MATCH('SBA Size Standards'!$E$3,'SBA Size Standards'!$B$3:$G$3,0),FALSE)),"")</f>
        <v>16500000</v>
      </c>
      <c r="CU303" s="86" t="str">
        <f>IF($CQ303="Y",IF($CS303="Revenue","N/A",VLOOKUP($CM303,'SBA Size Standards'!$B$3:$G$57,MATCH('SBA Size Standards'!$F$3,'SBA Size Standards'!$B$3:$G$3,0),FALSE)),"")</f>
        <v>N/A</v>
      </c>
      <c r="CV303" t="str">
        <f>IF($CQ303="Y",IF(OR(AND($CS303="Employment",$CL303&lt;$CU303),AND($CS303="Revenue",$CK303&lt;$CT303)),"YES","NO"),"")</f>
        <v>YES</v>
      </c>
      <c r="CW303" s="90" t="str">
        <f>IF($CQ303="Y",INDEX('SBA Size Standards'!$N$3:$N$12,MATCH($CK303,'SBA Size Standards'!$O$3:$O$12,1)),"")</f>
        <v>$100,001 - $500,000</v>
      </c>
      <c r="CX303" s="122" t="s">
        <v>4873</v>
      </c>
      <c r="CY303" s="122">
        <f>INDEX('NM O&amp;G Production'!$P$3:$P$537,MATCH(CX303,'NM O&amp;G Production'!$Q$3:$Q$537,0))</f>
        <v>319</v>
      </c>
      <c r="CZ303" s="122" t="str">
        <f>INDEX('NM O&amp;G Production'!$O$3:$O$537,MATCH(CY303,'NM O&amp;G Production'!$P$3:$P$537,0))</f>
        <v>Yes</v>
      </c>
      <c r="DA303" s="127">
        <f>INDEX('NM O&amp;G Production'!$K$3:$O$537,MATCH($CY303,'NM O&amp;G Production'!$P$3:$P$537,0),MATCH(DA$2,'NM O&amp;G Production'!$K$2:$O$2,0))</f>
        <v>7</v>
      </c>
      <c r="DB303" s="127">
        <f>INDEX('NM O&amp;G Production'!$K$3:$O$537,MATCH($CY303,'NM O&amp;G Production'!$P$3:$P$537,0),MATCH(DB$2,'NM O&amp;G Production'!$K$2:$O$2,0))</f>
        <v>9</v>
      </c>
      <c r="DC303" s="127">
        <f>DA303+DB303</f>
        <v>16</v>
      </c>
      <c r="DD303" s="127">
        <f>INDEX('NM O&amp;G Production'!$K$3:$O$537,MATCH($CY303,'NM O&amp;G Production'!$P$3:$P$537,0),MATCH(DD$2,'NM O&amp;G Production'!$K$2:$O$2,0))</f>
        <v>99756</v>
      </c>
      <c r="DE303" s="127">
        <f>INDEX('NM O&amp;G Production'!$K$3:$O$537,MATCH($CY303,'NM O&amp;G Production'!$P$3:$P$537,0),MATCH(DE$2,'NM O&amp;G Production'!$K$2:$O$2,0))</f>
        <v>63050</v>
      </c>
      <c r="DF303" s="258">
        <f>CK303/(DB303+DA303)</f>
        <v>27500</v>
      </c>
      <c r="DG303" s="57">
        <f>DD303*(12/18)*1.06*'Oil and Gas Prices'!$C$18</f>
        <v>168481.23360000001</v>
      </c>
      <c r="DH303" s="284">
        <f>DE303*(12/18)*'Oil and Gas Prices'!$C$4</f>
        <v>1891499.9999999998</v>
      </c>
      <c r="DI303" s="284">
        <f>DG303+DH303</f>
        <v>2059981.2335999997</v>
      </c>
      <c r="DJ303" s="57">
        <f>(DG303+DH303)/(DA303+DB303)</f>
        <v>128748.82709999998</v>
      </c>
      <c r="DK303" s="318"/>
    </row>
    <row r="304" spans="1:115" x14ac:dyDescent="0.25">
      <c r="A304" t="s">
        <v>2561</v>
      </c>
      <c r="B304" t="s">
        <v>2562</v>
      </c>
      <c r="D304" t="s">
        <v>153</v>
      </c>
      <c r="E304" t="s">
        <v>80</v>
      </c>
      <c r="F304">
        <v>79705</v>
      </c>
      <c r="G304" t="s">
        <v>62</v>
      </c>
      <c r="I304">
        <v>369</v>
      </c>
      <c r="J304" t="s">
        <v>63</v>
      </c>
      <c r="K304" t="s">
        <v>4133</v>
      </c>
      <c r="L304" t="s">
        <v>64</v>
      </c>
      <c r="M304">
        <v>10</v>
      </c>
      <c r="N304" t="s">
        <v>2563</v>
      </c>
      <c r="O304" t="s">
        <v>2564</v>
      </c>
      <c r="Q304" t="s">
        <v>2565</v>
      </c>
      <c r="R304" t="s">
        <v>153</v>
      </c>
      <c r="S304" t="s">
        <v>94</v>
      </c>
      <c r="T304" t="s">
        <v>2566</v>
      </c>
      <c r="U304" t="s">
        <v>62</v>
      </c>
      <c r="V304">
        <v>4326825600</v>
      </c>
      <c r="X304">
        <v>1</v>
      </c>
      <c r="Y304">
        <v>0</v>
      </c>
      <c r="AA304" t="s">
        <v>96</v>
      </c>
      <c r="AB304" t="s">
        <v>2567</v>
      </c>
      <c r="AC304" t="s">
        <v>677</v>
      </c>
      <c r="AD304" t="s">
        <v>119</v>
      </c>
      <c r="AE304">
        <v>1382</v>
      </c>
      <c r="AF304" t="s">
        <v>120</v>
      </c>
      <c r="AI304">
        <v>13820000</v>
      </c>
      <c r="AJ304" t="s">
        <v>119</v>
      </c>
      <c r="AM304">
        <v>213112</v>
      </c>
      <c r="AN304" t="s">
        <v>74</v>
      </c>
      <c r="AQ304" t="s">
        <v>75</v>
      </c>
      <c r="AR304" t="s">
        <v>2568</v>
      </c>
      <c r="AS304" t="s">
        <v>2564</v>
      </c>
      <c r="AT304" t="s">
        <v>76</v>
      </c>
      <c r="AU304" t="s">
        <v>1911</v>
      </c>
      <c r="AV304" t="s">
        <v>62</v>
      </c>
      <c r="AW304" t="s">
        <v>2568</v>
      </c>
      <c r="AX304" t="s">
        <v>2564</v>
      </c>
      <c r="AY304" t="s">
        <v>1911</v>
      </c>
      <c r="AZ304" t="s">
        <v>62</v>
      </c>
      <c r="BB304" t="s">
        <v>2568</v>
      </c>
      <c r="BC304" t="s">
        <v>2564</v>
      </c>
      <c r="BD304" t="s">
        <v>1911</v>
      </c>
      <c r="BE304" t="s">
        <v>62</v>
      </c>
      <c r="BF304">
        <v>1</v>
      </c>
      <c r="BG304">
        <v>2</v>
      </c>
      <c r="BH304" s="4" t="s">
        <v>2568</v>
      </c>
      <c r="BI304" s="4" t="s">
        <v>2564</v>
      </c>
      <c r="BK304" s="4" t="s">
        <v>4202</v>
      </c>
      <c r="BL304" s="4" t="s">
        <v>4203</v>
      </c>
      <c r="BM304" s="4" t="s">
        <v>4184</v>
      </c>
      <c r="BN304" s="4" t="s">
        <v>4204</v>
      </c>
      <c r="BO304" s="4" t="s">
        <v>62</v>
      </c>
      <c r="BP304" s="4">
        <v>7137350000</v>
      </c>
      <c r="BQ304" s="5">
        <v>438426</v>
      </c>
      <c r="BR304" s="4">
        <v>2</v>
      </c>
      <c r="BS304" s="4">
        <v>2</v>
      </c>
      <c r="BT304" s="4">
        <v>2001</v>
      </c>
      <c r="BU304" s="4" t="s">
        <v>163</v>
      </c>
      <c r="BV304" s="4" t="s">
        <v>4205</v>
      </c>
      <c r="BW304" s="4" t="s">
        <v>231</v>
      </c>
      <c r="BX304" s="4" t="s">
        <v>119</v>
      </c>
      <c r="BY304" s="4">
        <v>1382</v>
      </c>
      <c r="BZ304" s="4" t="s">
        <v>120</v>
      </c>
      <c r="CC304" s="4">
        <v>13820000</v>
      </c>
      <c r="CD304" s="4" t="s">
        <v>119</v>
      </c>
      <c r="CG304" s="4">
        <v>213112</v>
      </c>
      <c r="CH304" s="4" t="s">
        <v>74</v>
      </c>
      <c r="CK304" s="19">
        <f>IF(BQ304&gt;0,BQ304,W304)</f>
        <v>438426</v>
      </c>
      <c r="CL304" s="20">
        <f>IF(BS304&gt;0,BS304,Y304)</f>
        <v>2</v>
      </c>
      <c r="CM304" s="34">
        <f>IF(CG304&gt;0,CG304,AM304)</f>
        <v>213112</v>
      </c>
      <c r="CN304" s="80">
        <f>IF($BH304="",1,COUNTIF($BH$3:$BH304,$BH304))</f>
        <v>1</v>
      </c>
      <c r="CP304" t="str">
        <f>IF($K304="Standard Match","Match",IF($K304="Name Only Match",IF($CO304="Yes","Match","Name Only Match"),"No Match"))</f>
        <v>Match</v>
      </c>
      <c r="CQ304" s="35" t="str">
        <f>IF(AND(CP304="Match",CK304&gt;0,CL304&gt;0),"Y","N")</f>
        <v>Y</v>
      </c>
      <c r="CS304" t="str">
        <f>IF($CQ304="Y",VLOOKUP($CM304,'SBA Size Standards'!$B$3:$G$57,MATCH('SBA Size Standards'!$G$3,'SBA Size Standards'!$B$3:$G$3,0),FALSE),"")</f>
        <v>Revenue</v>
      </c>
      <c r="CT304" s="60">
        <f>IF(CQ304="Y",IF($CS304="Employment","N/A",VLOOKUP($CM304,'SBA Size Standards'!$B$3:$G$57,MATCH('SBA Size Standards'!$E$3,'SBA Size Standards'!$B$3:$G$3,0),FALSE)),"")</f>
        <v>41500000</v>
      </c>
      <c r="CU304" s="86" t="str">
        <f>IF($CQ304="Y",IF($CS304="Revenue","N/A",VLOOKUP($CM304,'SBA Size Standards'!$B$3:$G$57,MATCH('SBA Size Standards'!$F$3,'SBA Size Standards'!$B$3:$G$3,0),FALSE)),"")</f>
        <v>N/A</v>
      </c>
      <c r="CV304" t="str">
        <f>IF($CQ304="Y",IF(OR(AND($CS304="Employment",$CL304&lt;$CU304),AND($CS304="Revenue",$CK304&lt;$CT304)),"YES","NO"),"")</f>
        <v>YES</v>
      </c>
      <c r="CW304" s="90" t="str">
        <f>IF($CQ304="Y",INDEX('SBA Size Standards'!$N$3:$N$12,MATCH($CK304,'SBA Size Standards'!$O$3:$O$12,1)),"")</f>
        <v>$100,001 - $500,000</v>
      </c>
      <c r="CX304" s="122" t="s">
        <v>4705</v>
      </c>
      <c r="CY304" s="122">
        <f>INDEX('NM O&amp;G Production'!$P$3:$P$537,MATCH(CX304,'NM O&amp;G Production'!$Q$3:$Q$537,0))</f>
        <v>369</v>
      </c>
      <c r="CZ304" s="122" t="str">
        <f>INDEX('NM O&amp;G Production'!$O$3:$O$537,MATCH(CY304,'NM O&amp;G Production'!$P$3:$P$537,0))</f>
        <v>Yes</v>
      </c>
      <c r="DA304" s="127">
        <f>INDEX('NM O&amp;G Production'!$K$3:$O$537,MATCH($CY304,'NM O&amp;G Production'!$P$3:$P$537,0),MATCH(DA$2,'NM O&amp;G Production'!$K$2:$O$2,0))</f>
        <v>3</v>
      </c>
      <c r="DB304" s="127">
        <f>INDEX('NM O&amp;G Production'!$K$3:$O$537,MATCH($CY304,'NM O&amp;G Production'!$P$3:$P$537,0),MATCH(DB$2,'NM O&amp;G Production'!$K$2:$O$2,0))</f>
        <v>2</v>
      </c>
      <c r="DC304" s="127">
        <f>DA304+DB304</f>
        <v>5</v>
      </c>
      <c r="DD304" s="127">
        <f>INDEX('NM O&amp;G Production'!$K$3:$O$537,MATCH($CY304,'NM O&amp;G Production'!$P$3:$P$537,0),MATCH(DD$2,'NM O&amp;G Production'!$K$2:$O$2,0))</f>
        <v>61161</v>
      </c>
      <c r="DE304" s="127">
        <f>INDEX('NM O&amp;G Production'!$K$3:$O$537,MATCH($CY304,'NM O&amp;G Production'!$P$3:$P$537,0),MATCH(DE$2,'NM O&amp;G Production'!$K$2:$O$2,0))</f>
        <v>1788</v>
      </c>
      <c r="DF304" s="258">
        <f>CK304/(DB304+DA304)</f>
        <v>87685.2</v>
      </c>
      <c r="DG304" s="57">
        <f>DD304*(12/18)*1.06*'Oil and Gas Prices'!$C$18</f>
        <v>103296.85160000001</v>
      </c>
      <c r="DH304" s="284">
        <f>DE304*(12/18)*'Oil and Gas Prices'!$C$4</f>
        <v>53640</v>
      </c>
      <c r="DI304" s="284">
        <f>DG304+DH304</f>
        <v>156936.85159999999</v>
      </c>
      <c r="DJ304" s="57">
        <f>(DG304+DH304)/(DA304+DB304)</f>
        <v>31387.370319999998</v>
      </c>
      <c r="DK304" s="319"/>
    </row>
    <row r="305" spans="1:115" x14ac:dyDescent="0.25">
      <c r="A305" t="s">
        <v>3009</v>
      </c>
      <c r="B305" t="s">
        <v>3010</v>
      </c>
      <c r="D305" t="s">
        <v>153</v>
      </c>
      <c r="E305" t="s">
        <v>80</v>
      </c>
      <c r="F305">
        <v>79710</v>
      </c>
      <c r="G305" t="s">
        <v>62</v>
      </c>
      <c r="I305">
        <v>439</v>
      </c>
      <c r="J305" t="s">
        <v>63</v>
      </c>
      <c r="K305" t="s">
        <v>4133</v>
      </c>
      <c r="L305" t="s">
        <v>149</v>
      </c>
      <c r="M305">
        <v>10</v>
      </c>
      <c r="N305" t="s">
        <v>3011</v>
      </c>
      <c r="O305" t="s">
        <v>3012</v>
      </c>
      <c r="Q305" t="s">
        <v>3013</v>
      </c>
      <c r="R305" t="s">
        <v>153</v>
      </c>
      <c r="S305" t="s">
        <v>94</v>
      </c>
      <c r="T305" t="s">
        <v>3014</v>
      </c>
      <c r="U305" t="s">
        <v>62</v>
      </c>
      <c r="V305">
        <v>4326833835</v>
      </c>
      <c r="W305" s="1">
        <v>434669</v>
      </c>
      <c r="X305">
        <v>3</v>
      </c>
      <c r="Y305">
        <v>3</v>
      </c>
      <c r="Z305">
        <v>1984</v>
      </c>
      <c r="AA305" t="s">
        <v>70</v>
      </c>
      <c r="AB305" t="s">
        <v>3015</v>
      </c>
      <c r="AC305" t="s">
        <v>98</v>
      </c>
      <c r="AD305" t="s">
        <v>99</v>
      </c>
      <c r="AE305">
        <v>1311</v>
      </c>
      <c r="AF305" t="s">
        <v>100</v>
      </c>
      <c r="AG305">
        <v>1381</v>
      </c>
      <c r="AH305" t="s">
        <v>518</v>
      </c>
      <c r="AI305">
        <v>13110101</v>
      </c>
      <c r="AJ305" t="s">
        <v>102</v>
      </c>
      <c r="AK305">
        <v>13819901</v>
      </c>
      <c r="AL305" t="s">
        <v>1736</v>
      </c>
      <c r="AM305">
        <v>211120</v>
      </c>
      <c r="AN305" t="s">
        <v>104</v>
      </c>
      <c r="AO305">
        <v>213111</v>
      </c>
      <c r="AP305" t="s">
        <v>518</v>
      </c>
      <c r="AQ305" t="s">
        <v>75</v>
      </c>
      <c r="AT305" t="s">
        <v>76</v>
      </c>
      <c r="BF305">
        <v>0</v>
      </c>
      <c r="BG305">
        <v>0</v>
      </c>
      <c r="CK305" s="19">
        <f>IF(BQ305&gt;0,BQ305,W305)</f>
        <v>434669</v>
      </c>
      <c r="CL305" s="20">
        <f>IF(BS305&gt;0,BS305,Y305)</f>
        <v>3</v>
      </c>
      <c r="CM305" s="34">
        <f>IF(CG305&gt;0,CG305,AM305)</f>
        <v>211120</v>
      </c>
      <c r="CN305" s="80">
        <f>IF($BH305="",1,COUNTIF($BH$3:$BH305,$BH305))</f>
        <v>1</v>
      </c>
      <c r="CP305" t="str">
        <f>IF($K305="Standard Match","Match",IF($K305="Name Only Match",IF($CO305="Yes","Match","Name Only Match"),"No Match"))</f>
        <v>Match</v>
      </c>
      <c r="CQ305" s="35" t="str">
        <f>IF(AND(CP305="Match",CK305&gt;0,CL305&gt;0),"Y","N")</f>
        <v>Y</v>
      </c>
      <c r="CS305" t="str">
        <f>IF($CQ305="Y",VLOOKUP($CM305,'SBA Size Standards'!$B$3:$G$57,MATCH('SBA Size Standards'!$G$3,'SBA Size Standards'!$B$3:$G$3,0),FALSE),"")</f>
        <v>Employment</v>
      </c>
      <c r="CT305" s="60" t="str">
        <f>IF(CQ305="Y",IF($CS305="Employment","N/A",VLOOKUP($CM305,'SBA Size Standards'!$B$3:$G$57,MATCH('SBA Size Standards'!$E$3,'SBA Size Standards'!$B$3:$G$3,0),FALSE)),"")</f>
        <v>N/A</v>
      </c>
      <c r="CU305" s="86">
        <f>IF($CQ305="Y",IF($CS305="Revenue","N/A",VLOOKUP($CM305,'SBA Size Standards'!$B$3:$G$57,MATCH('SBA Size Standards'!$F$3,'SBA Size Standards'!$B$3:$G$3,0),FALSE)),"")</f>
        <v>1250</v>
      </c>
      <c r="CV305" t="str">
        <f>IF($CQ305="Y",IF(OR(AND($CS305="Employment",$CL305&lt;$CU305),AND($CS305="Revenue",$CK305&lt;$CT305)),"YES","NO"),"")</f>
        <v>YES</v>
      </c>
      <c r="CW305" s="90" t="str">
        <f>IF($CQ305="Y",INDEX('SBA Size Standards'!$N$3:$N$12,MATCH($CK305,'SBA Size Standards'!$O$3:$O$12,1)),"")</f>
        <v>$100,001 - $500,000</v>
      </c>
      <c r="CX305" s="122" t="s">
        <v>5060</v>
      </c>
      <c r="CY305" s="122">
        <f>INDEX('NM O&amp;G Production'!$P$3:$P$537,MATCH(CX305,'NM O&amp;G Production'!$Q$3:$Q$537,0))</f>
        <v>439</v>
      </c>
      <c r="CZ305" s="122" t="str">
        <f>INDEX('NM O&amp;G Production'!$O$3:$O$537,MATCH(CY305,'NM O&amp;G Production'!$P$3:$P$537,0))</f>
        <v>Yes</v>
      </c>
      <c r="DA305" s="127">
        <f>INDEX('NM O&amp;G Production'!$K$3:$O$537,MATCH($CY305,'NM O&amp;G Production'!$P$3:$P$537,0),MATCH(DA$2,'NM O&amp;G Production'!$K$2:$O$2,0))</f>
        <v>3</v>
      </c>
      <c r="DB305" s="127">
        <f>INDEX('NM O&amp;G Production'!$K$3:$O$537,MATCH($CY305,'NM O&amp;G Production'!$P$3:$P$537,0),MATCH(DB$2,'NM O&amp;G Production'!$K$2:$O$2,0))</f>
        <v>12</v>
      </c>
      <c r="DC305" s="127">
        <f>DA305+DB305</f>
        <v>15</v>
      </c>
      <c r="DD305" s="127">
        <f>INDEX('NM O&amp;G Production'!$K$3:$O$537,MATCH($CY305,'NM O&amp;G Production'!$P$3:$P$537,0),MATCH(DD$2,'NM O&amp;G Production'!$K$2:$O$2,0))</f>
        <v>256135</v>
      </c>
      <c r="DE305" s="127">
        <f>INDEX('NM O&amp;G Production'!$K$3:$O$537,MATCH($CY305,'NM O&amp;G Production'!$P$3:$P$537,0),MATCH(DE$2,'NM O&amp;G Production'!$K$2:$O$2,0))</f>
        <v>10627</v>
      </c>
      <c r="DF305" s="258">
        <f>CK305/(DB305+DA305)</f>
        <v>28977.933333333334</v>
      </c>
      <c r="DG305" s="57">
        <f>DD305*(12/18)*1.06*'Oil and Gas Prices'!$C$18</f>
        <v>432594.93933333334</v>
      </c>
      <c r="DH305" s="284">
        <f>DE305*(12/18)*'Oil and Gas Prices'!$C$4</f>
        <v>318810</v>
      </c>
      <c r="DI305" s="284">
        <f>DG305+DH305</f>
        <v>751404.9393333334</v>
      </c>
      <c r="DJ305" s="57">
        <f>(DG305+DH305)/(DA305+DB305)</f>
        <v>50093.662622222226</v>
      </c>
      <c r="DK305" s="318"/>
    </row>
    <row r="306" spans="1:115" x14ac:dyDescent="0.25">
      <c r="A306" t="s">
        <v>627</v>
      </c>
      <c r="B306" t="s">
        <v>628</v>
      </c>
      <c r="D306" t="s">
        <v>153</v>
      </c>
      <c r="E306" t="s">
        <v>80</v>
      </c>
      <c r="F306">
        <v>79705</v>
      </c>
      <c r="G306" t="s">
        <v>62</v>
      </c>
      <c r="I306">
        <v>77</v>
      </c>
      <c r="J306" t="s">
        <v>392</v>
      </c>
      <c r="K306" t="s">
        <v>4133</v>
      </c>
      <c r="L306" t="s">
        <v>113</v>
      </c>
      <c r="M306">
        <v>8</v>
      </c>
      <c r="N306" t="s">
        <v>629</v>
      </c>
      <c r="O306" t="s">
        <v>630</v>
      </c>
      <c r="Q306" t="s">
        <v>631</v>
      </c>
      <c r="R306" t="s">
        <v>153</v>
      </c>
      <c r="S306" t="s">
        <v>94</v>
      </c>
      <c r="T306" t="s">
        <v>632</v>
      </c>
      <c r="U306" t="s">
        <v>62</v>
      </c>
      <c r="V306">
        <v>4326877100</v>
      </c>
      <c r="W306" s="1">
        <v>433512</v>
      </c>
      <c r="X306">
        <v>5</v>
      </c>
      <c r="Y306">
        <v>5</v>
      </c>
      <c r="Z306">
        <v>2010</v>
      </c>
      <c r="AA306" t="s">
        <v>70</v>
      </c>
      <c r="AB306" t="s">
        <v>633</v>
      </c>
      <c r="AC306" t="s">
        <v>231</v>
      </c>
      <c r="AD306" t="s">
        <v>253</v>
      </c>
      <c r="AE306">
        <v>5541</v>
      </c>
      <c r="AF306" t="s">
        <v>254</v>
      </c>
      <c r="AI306">
        <v>55419901</v>
      </c>
      <c r="AJ306" t="s">
        <v>255</v>
      </c>
      <c r="AM306">
        <v>447190</v>
      </c>
      <c r="AN306" t="s">
        <v>256</v>
      </c>
      <c r="AQ306" t="s">
        <v>75</v>
      </c>
      <c r="AT306" t="s">
        <v>76</v>
      </c>
      <c r="BF306">
        <v>0</v>
      </c>
      <c r="BG306">
        <v>0</v>
      </c>
      <c r="CK306" s="19">
        <f>IF(BQ306&gt;0,BQ306,W306)</f>
        <v>433512</v>
      </c>
      <c r="CL306" s="20">
        <f>IF(BS306&gt;0,BS306,Y306)</f>
        <v>5</v>
      </c>
      <c r="CM306" s="34">
        <f>IF(CG306&gt;0,CG306,AM306)</f>
        <v>447190</v>
      </c>
      <c r="CN306" s="80">
        <f>IF($BH306="",1,COUNTIF($BH$3:$BH306,$BH306))</f>
        <v>1</v>
      </c>
      <c r="CP306" t="str">
        <f>IF($K306="Standard Match","Match",IF($K306="Name Only Match",IF($CO306="Yes","Match","Name Only Match"),"No Match"))</f>
        <v>Match</v>
      </c>
      <c r="CQ306" s="35" t="str">
        <f>IF(AND(CP306="Match",CK306&gt;0,CL306&gt;0),"Y","N")</f>
        <v>Y</v>
      </c>
      <c r="CS306" t="str">
        <f>IF($CQ306="Y",VLOOKUP($CM306,'SBA Size Standards'!$B$3:$G$57,MATCH('SBA Size Standards'!$G$3,'SBA Size Standards'!$B$3:$G$3,0),FALSE),"")</f>
        <v>Revenue</v>
      </c>
      <c r="CT306" s="60">
        <f>IF(CQ306="Y",IF($CS306="Employment","N/A",VLOOKUP($CM306,'SBA Size Standards'!$B$3:$G$57,MATCH('SBA Size Standards'!$E$3,'SBA Size Standards'!$B$3:$G$3,0),FALSE)),"")</f>
        <v>16500000</v>
      </c>
      <c r="CU306" s="86" t="str">
        <f>IF($CQ306="Y",IF($CS306="Revenue","N/A",VLOOKUP($CM306,'SBA Size Standards'!$B$3:$G$57,MATCH('SBA Size Standards'!$F$3,'SBA Size Standards'!$B$3:$G$3,0),FALSE)),"")</f>
        <v>N/A</v>
      </c>
      <c r="CV306" t="str">
        <f>IF($CQ306="Y",IF(OR(AND($CS306="Employment",$CL306&lt;$CU306),AND($CS306="Revenue",$CK306&lt;$CT306)),"YES","NO"),"")</f>
        <v>YES</v>
      </c>
      <c r="CW306" s="90" t="str">
        <f>IF($CQ306="Y",INDEX('SBA Size Standards'!$N$3:$N$12,MATCH($CK306,'SBA Size Standards'!$O$3:$O$12,1)),"")</f>
        <v>$100,001 - $500,000</v>
      </c>
      <c r="CX306" s="122" t="s">
        <v>4818</v>
      </c>
      <c r="CY306" s="122">
        <f>INDEX('NM O&amp;G Production'!$P$3:$P$537,MATCH(CX306,'NM O&amp;G Production'!$Q$3:$Q$537,0))</f>
        <v>77</v>
      </c>
      <c r="CZ306" s="122" t="str">
        <f>INDEX('NM O&amp;G Production'!$O$3:$O$537,MATCH(CY306,'NM O&amp;G Production'!$P$3:$P$537,0))</f>
        <v>No</v>
      </c>
      <c r="DA306" s="127">
        <f>INDEX('NM O&amp;G Production'!$K$3:$O$537,MATCH($CY306,'NM O&amp;G Production'!$P$3:$P$537,0),MATCH(DA$2,'NM O&amp;G Production'!$K$2:$O$2,0))</f>
        <v>0</v>
      </c>
      <c r="DB306" s="127">
        <f>INDEX('NM O&amp;G Production'!$K$3:$O$537,MATCH($CY306,'NM O&amp;G Production'!$P$3:$P$537,0),MATCH(DB$2,'NM O&amp;G Production'!$K$2:$O$2,0))</f>
        <v>0</v>
      </c>
      <c r="DC306" s="127"/>
      <c r="DD306" s="127">
        <f>INDEX('NM O&amp;G Production'!$K$3:$O$537,MATCH($CY306,'NM O&amp;G Production'!$P$3:$P$537,0),MATCH(DD$2,'NM O&amp;G Production'!$K$2:$O$2,0))</f>
        <v>0</v>
      </c>
      <c r="DE306" s="127">
        <f>INDEX('NM O&amp;G Production'!$K$3:$O$537,MATCH($CY306,'NM O&amp;G Production'!$P$3:$P$537,0),MATCH(DE$2,'NM O&amp;G Production'!$K$2:$O$2,0))</f>
        <v>0</v>
      </c>
      <c r="DF306" s="258" t="e">
        <f>CK306/(DB306+DA306)</f>
        <v>#DIV/0!</v>
      </c>
      <c r="DG306" s="57">
        <f>DD306*(12/18)*1.06*'Oil and Gas Prices'!$C$18</f>
        <v>0</v>
      </c>
      <c r="DH306" s="284">
        <f>DE306*(12/18)*'Oil and Gas Prices'!$C$4</f>
        <v>0</v>
      </c>
      <c r="DI306" s="284"/>
      <c r="DJ306" s="57" t="e">
        <f>(DG306+DH306)/(DA306+DB306)</f>
        <v>#DIV/0!</v>
      </c>
      <c r="DK306" s="18" t="e">
        <f>CK306/DI306</f>
        <v>#DIV/0!</v>
      </c>
    </row>
    <row r="307" spans="1:115" x14ac:dyDescent="0.25">
      <c r="A307" t="s">
        <v>2996</v>
      </c>
      <c r="B307" t="s">
        <v>2997</v>
      </c>
      <c r="D307" t="s">
        <v>382</v>
      </c>
      <c r="E307" t="s">
        <v>61</v>
      </c>
      <c r="F307">
        <v>81301</v>
      </c>
      <c r="G307" t="s">
        <v>62</v>
      </c>
      <c r="I307">
        <v>437</v>
      </c>
      <c r="J307" t="s">
        <v>63</v>
      </c>
      <c r="K307" t="s">
        <v>4133</v>
      </c>
      <c r="L307" t="s">
        <v>64</v>
      </c>
      <c r="M307">
        <v>10</v>
      </c>
      <c r="N307" t="s">
        <v>2998</v>
      </c>
      <c r="O307" t="s">
        <v>2999</v>
      </c>
      <c r="Q307" t="s">
        <v>3000</v>
      </c>
      <c r="R307" t="s">
        <v>382</v>
      </c>
      <c r="S307" t="s">
        <v>68</v>
      </c>
      <c r="T307" t="s">
        <v>3001</v>
      </c>
      <c r="U307" t="s">
        <v>62</v>
      </c>
      <c r="V307">
        <v>3463482657</v>
      </c>
      <c r="W307" s="1">
        <v>427031</v>
      </c>
      <c r="X307">
        <v>20</v>
      </c>
      <c r="Y307">
        <v>20</v>
      </c>
      <c r="Z307">
        <v>2019</v>
      </c>
      <c r="AA307" t="s">
        <v>70</v>
      </c>
      <c r="AD307" t="s">
        <v>119</v>
      </c>
      <c r="AE307">
        <v>1382</v>
      </c>
      <c r="AF307" t="s">
        <v>120</v>
      </c>
      <c r="AI307">
        <v>13820000</v>
      </c>
      <c r="AJ307" t="s">
        <v>119</v>
      </c>
      <c r="AM307">
        <v>213112</v>
      </c>
      <c r="AN307" t="s">
        <v>74</v>
      </c>
      <c r="AQ307" t="s">
        <v>75</v>
      </c>
      <c r="AT307" t="s">
        <v>76</v>
      </c>
      <c r="CK307" s="19">
        <f>IF(BQ307&gt;0,BQ307,W307)</f>
        <v>427031</v>
      </c>
      <c r="CL307" s="20">
        <f>IF(BS307&gt;0,BS307,Y307)</f>
        <v>20</v>
      </c>
      <c r="CM307" s="34">
        <f>IF(CG307&gt;0,CG307,AM307)</f>
        <v>213112</v>
      </c>
      <c r="CN307" s="80">
        <f>IF($BH307="",1,COUNTIF($BH$3:$BH307,$BH307))</f>
        <v>1</v>
      </c>
      <c r="CP307" t="str">
        <f>IF($K307="Standard Match","Match",IF($K307="Name Only Match",IF($CO307="Yes","Match","Name Only Match"),"No Match"))</f>
        <v>Match</v>
      </c>
      <c r="CQ307" s="35" t="str">
        <f>IF(AND(CP307="Match",CK307&gt;0,CL307&gt;0),"Y","N")</f>
        <v>Y</v>
      </c>
      <c r="CS307" t="str">
        <f>IF($CQ307="Y",VLOOKUP($CM307,'SBA Size Standards'!$B$3:$G$57,MATCH('SBA Size Standards'!$G$3,'SBA Size Standards'!$B$3:$G$3,0),FALSE),"")</f>
        <v>Revenue</v>
      </c>
      <c r="CT307" s="60">
        <f>IF(CQ307="Y",IF($CS307="Employment","N/A",VLOOKUP($CM307,'SBA Size Standards'!$B$3:$G$57,MATCH('SBA Size Standards'!$E$3,'SBA Size Standards'!$B$3:$G$3,0),FALSE)),"")</f>
        <v>41500000</v>
      </c>
      <c r="CU307" s="86" t="str">
        <f>IF($CQ307="Y",IF($CS307="Revenue","N/A",VLOOKUP($CM307,'SBA Size Standards'!$B$3:$G$57,MATCH('SBA Size Standards'!$F$3,'SBA Size Standards'!$B$3:$G$3,0),FALSE)),"")</f>
        <v>N/A</v>
      </c>
      <c r="CV307" t="str">
        <f>IF($CQ307="Y",IF(OR(AND($CS307="Employment",$CL307&lt;$CU307),AND($CS307="Revenue",$CK307&lt;$CT307)),"YES","NO"),"")</f>
        <v>YES</v>
      </c>
      <c r="CW307" s="90" t="str">
        <f>IF($CQ307="Y",INDEX('SBA Size Standards'!$N$3:$N$12,MATCH($CK307,'SBA Size Standards'!$O$3:$O$12,1)),"")</f>
        <v>$100,001 - $500,000</v>
      </c>
      <c r="CX307" s="122" t="s">
        <v>4745</v>
      </c>
      <c r="CY307" s="122">
        <f>INDEX('NM O&amp;G Production'!$P$3:$P$537,MATCH(CX307,'NM O&amp;G Production'!$Q$3:$Q$537,0))</f>
        <v>437</v>
      </c>
      <c r="CZ307" s="122" t="str">
        <f>INDEX('NM O&amp;G Production'!$O$3:$O$537,MATCH(CY307,'NM O&amp;G Production'!$P$3:$P$537,0))</f>
        <v>Yes</v>
      </c>
      <c r="DA307" s="127">
        <f>INDEX('NM O&amp;G Production'!$K$3:$O$537,MATCH($CY307,'NM O&amp;G Production'!$P$3:$P$537,0),MATCH(DA$2,'NM O&amp;G Production'!$K$2:$O$2,0))</f>
        <v>1259</v>
      </c>
      <c r="DB307" s="127">
        <f>INDEX('NM O&amp;G Production'!$K$3:$O$537,MATCH($CY307,'NM O&amp;G Production'!$P$3:$P$537,0),MATCH(DB$2,'NM O&amp;G Production'!$K$2:$O$2,0))</f>
        <v>940</v>
      </c>
      <c r="DC307" s="127">
        <f>DA307+DB307</f>
        <v>2199</v>
      </c>
      <c r="DD307" s="127">
        <f>INDEX('NM O&amp;G Production'!$K$3:$O$537,MATCH($CY307,'NM O&amp;G Production'!$P$3:$P$537,0),MATCH(DD$2,'NM O&amp;G Production'!$K$2:$O$2,0))</f>
        <v>100748293</v>
      </c>
      <c r="DE307" s="127">
        <f>INDEX('NM O&amp;G Production'!$K$3:$O$537,MATCH($CY307,'NM O&amp;G Production'!$P$3:$P$537,0),MATCH(DE$2,'NM O&amp;G Production'!$K$2:$O$2,0))</f>
        <v>150071</v>
      </c>
      <c r="DF307" s="258">
        <f>CK307/(DB307+DA307)</f>
        <v>194.19326966803092</v>
      </c>
      <c r="DG307" s="57">
        <f>DD307*(12/18)*1.06*'Oil and Gas Prices'!$C$18</f>
        <v>170157150.32413331</v>
      </c>
      <c r="DH307" s="284">
        <f>DE307*(12/18)*'Oil and Gas Prices'!$C$4</f>
        <v>4502130</v>
      </c>
      <c r="DI307" s="284">
        <f>DG307+DH307</f>
        <v>174659280.32413331</v>
      </c>
      <c r="DJ307" s="57">
        <f>(DG307+DH307)/(DA307+DB307)</f>
        <v>79426.685004153391</v>
      </c>
      <c r="DK307" s="318"/>
    </row>
    <row r="308" spans="1:115" x14ac:dyDescent="0.25">
      <c r="A308" t="s">
        <v>1699</v>
      </c>
      <c r="B308" t="s">
        <v>1700</v>
      </c>
      <c r="D308" t="s">
        <v>1265</v>
      </c>
      <c r="E308" t="s">
        <v>84</v>
      </c>
      <c r="F308">
        <v>88260</v>
      </c>
      <c r="G308" t="s">
        <v>62</v>
      </c>
      <c r="I308">
        <v>233</v>
      </c>
      <c r="J308" t="s">
        <v>89</v>
      </c>
      <c r="K308" t="s">
        <v>4133</v>
      </c>
      <c r="L308" t="s">
        <v>149</v>
      </c>
      <c r="M308">
        <v>10</v>
      </c>
      <c r="N308" t="s">
        <v>1701</v>
      </c>
      <c r="O308" t="s">
        <v>1702</v>
      </c>
      <c r="Q308" t="s">
        <v>1703</v>
      </c>
      <c r="R308" t="s">
        <v>1265</v>
      </c>
      <c r="S308" t="s">
        <v>214</v>
      </c>
      <c r="T308">
        <v>88260</v>
      </c>
      <c r="U308" t="s">
        <v>62</v>
      </c>
      <c r="V308">
        <v>5053962104</v>
      </c>
      <c r="W308" s="1">
        <v>420000</v>
      </c>
      <c r="X308">
        <v>5</v>
      </c>
      <c r="Y308">
        <v>5</v>
      </c>
      <c r="Z308">
        <v>1980</v>
      </c>
      <c r="AA308" t="s">
        <v>70</v>
      </c>
      <c r="AB308" t="s">
        <v>1704</v>
      </c>
      <c r="AC308" t="s">
        <v>483</v>
      </c>
      <c r="AD308" t="s">
        <v>99</v>
      </c>
      <c r="AE308">
        <v>1311</v>
      </c>
      <c r="AF308" t="s">
        <v>100</v>
      </c>
      <c r="AG308">
        <v>1389</v>
      </c>
      <c r="AH308" t="s">
        <v>72</v>
      </c>
      <c r="AI308">
        <v>13110100</v>
      </c>
      <c r="AJ308" t="s">
        <v>411</v>
      </c>
      <c r="AK308">
        <v>13899901</v>
      </c>
      <c r="AL308" t="s">
        <v>1705</v>
      </c>
      <c r="AM308">
        <v>211120</v>
      </c>
      <c r="AN308" t="s">
        <v>104</v>
      </c>
      <c r="AO308">
        <v>213112</v>
      </c>
      <c r="AP308" t="s">
        <v>74</v>
      </c>
      <c r="AQ308" t="s">
        <v>75</v>
      </c>
      <c r="AT308" t="s">
        <v>76</v>
      </c>
      <c r="BF308">
        <v>0</v>
      </c>
      <c r="BG308">
        <v>0</v>
      </c>
      <c r="CK308" s="19">
        <f>IF(BQ308&gt;0,BQ308,W308)</f>
        <v>420000</v>
      </c>
      <c r="CL308" s="20">
        <f>IF(BS308&gt;0,BS308,Y308)</f>
        <v>5</v>
      </c>
      <c r="CM308" s="34">
        <f>IF(CG308&gt;0,CG308,AM308)</f>
        <v>211120</v>
      </c>
      <c r="CN308" s="80">
        <f>IF($BH308="",1,COUNTIF($BH$3:$BH308,$BH308))</f>
        <v>1</v>
      </c>
      <c r="CP308" t="str">
        <f>IF($K308="Standard Match","Match",IF($K308="Name Only Match",IF($CO308="Yes","Match","Name Only Match"),"No Match"))</f>
        <v>Match</v>
      </c>
      <c r="CQ308" s="35" t="str">
        <f>IF(AND(CP308="Match",CK308&gt;0,CL308&gt;0),"Y","N")</f>
        <v>Y</v>
      </c>
      <c r="CS308" t="str">
        <f>IF($CQ308="Y",VLOOKUP($CM308,'SBA Size Standards'!$B$3:$G$57,MATCH('SBA Size Standards'!$G$3,'SBA Size Standards'!$B$3:$G$3,0),FALSE),"")</f>
        <v>Employment</v>
      </c>
      <c r="CT308" s="60" t="str">
        <f>IF(CQ308="Y",IF($CS308="Employment","N/A",VLOOKUP($CM308,'SBA Size Standards'!$B$3:$G$57,MATCH('SBA Size Standards'!$E$3,'SBA Size Standards'!$B$3:$G$3,0),FALSE)),"")</f>
        <v>N/A</v>
      </c>
      <c r="CU308" s="86">
        <f>IF($CQ308="Y",IF($CS308="Revenue","N/A",VLOOKUP($CM308,'SBA Size Standards'!$B$3:$G$57,MATCH('SBA Size Standards'!$F$3,'SBA Size Standards'!$B$3:$G$3,0),FALSE)),"")</f>
        <v>1250</v>
      </c>
      <c r="CV308" t="str">
        <f>IF($CQ308="Y",IF(OR(AND($CS308="Employment",$CL308&lt;$CU308),AND($CS308="Revenue",$CK308&lt;$CT308)),"YES","NO"),"")</f>
        <v>YES</v>
      </c>
      <c r="CW308" s="90" t="str">
        <f>IF($CQ308="Y",INDEX('SBA Size Standards'!$N$3:$N$12,MATCH($CK308,'SBA Size Standards'!$O$3:$O$12,1)),"")</f>
        <v>$100,001 - $500,000</v>
      </c>
      <c r="CX308" s="122" t="s">
        <v>4646</v>
      </c>
      <c r="CY308" s="122">
        <f>INDEX('NM O&amp;G Production'!$P$3:$P$537,MATCH(CX308,'NM O&amp;G Production'!$Q$3:$Q$537,0))</f>
        <v>233</v>
      </c>
      <c r="CZ308" s="122" t="str">
        <f>INDEX('NM O&amp;G Production'!$O$3:$O$537,MATCH(CY308,'NM O&amp;G Production'!$P$3:$P$537,0))</f>
        <v>Yes</v>
      </c>
      <c r="DA308" s="127">
        <f>INDEX('NM O&amp;G Production'!$K$3:$O$537,MATCH($CY308,'NM O&amp;G Production'!$P$3:$P$537,0),MATCH(DA$2,'NM O&amp;G Production'!$K$2:$O$2,0))</f>
        <v>2</v>
      </c>
      <c r="DB308" s="127">
        <f>INDEX('NM O&amp;G Production'!$K$3:$O$537,MATCH($CY308,'NM O&amp;G Production'!$P$3:$P$537,0),MATCH(DB$2,'NM O&amp;G Production'!$K$2:$O$2,0))</f>
        <v>3</v>
      </c>
      <c r="DC308" s="127">
        <f>DA308+DB308</f>
        <v>5</v>
      </c>
      <c r="DD308" s="127">
        <f>INDEX('NM O&amp;G Production'!$K$3:$O$537,MATCH($CY308,'NM O&amp;G Production'!$P$3:$P$537,0),MATCH(DD$2,'NM O&amp;G Production'!$K$2:$O$2,0))</f>
        <v>46172</v>
      </c>
      <c r="DE308" s="127">
        <f>INDEX('NM O&amp;G Production'!$K$3:$O$537,MATCH($CY308,'NM O&amp;G Production'!$P$3:$P$537,0),MATCH(DE$2,'NM O&amp;G Production'!$K$2:$O$2,0))</f>
        <v>2318</v>
      </c>
      <c r="DF308" s="258">
        <f>CK308/(DB308+DA308)</f>
        <v>84000</v>
      </c>
      <c r="DG308" s="57">
        <f>DD308*(12/18)*1.06*'Oil and Gas Prices'!$C$18</f>
        <v>77981.429866666673</v>
      </c>
      <c r="DH308" s="284">
        <f>DE308*(12/18)*'Oil and Gas Prices'!$C$4</f>
        <v>69540</v>
      </c>
      <c r="DI308" s="284">
        <f>DG308+DH308</f>
        <v>147521.42986666667</v>
      </c>
      <c r="DJ308" s="57">
        <f>(DG308+DH308)/(DA308+DB308)</f>
        <v>29504.285973333335</v>
      </c>
      <c r="DK308" s="319"/>
    </row>
    <row r="309" spans="1:115" x14ac:dyDescent="0.25">
      <c r="A309" t="s">
        <v>938</v>
      </c>
      <c r="B309" t="s">
        <v>939</v>
      </c>
      <c r="D309" t="s">
        <v>153</v>
      </c>
      <c r="E309" t="s">
        <v>80</v>
      </c>
      <c r="F309">
        <v>79702</v>
      </c>
      <c r="G309" t="s">
        <v>62</v>
      </c>
      <c r="I309">
        <v>121</v>
      </c>
      <c r="J309" t="s">
        <v>392</v>
      </c>
      <c r="K309" t="s">
        <v>4133</v>
      </c>
      <c r="L309" t="s">
        <v>149</v>
      </c>
      <c r="M309">
        <v>10</v>
      </c>
      <c r="N309" t="s">
        <v>940</v>
      </c>
      <c r="O309" t="s">
        <v>941</v>
      </c>
      <c r="P309" t="s">
        <v>942</v>
      </c>
      <c r="Q309" t="s">
        <v>943</v>
      </c>
      <c r="R309" t="s">
        <v>153</v>
      </c>
      <c r="S309" t="s">
        <v>94</v>
      </c>
      <c r="T309" t="s">
        <v>944</v>
      </c>
      <c r="U309" t="s">
        <v>62</v>
      </c>
      <c r="V309">
        <v>4326845544</v>
      </c>
      <c r="W309" s="1">
        <v>400000</v>
      </c>
      <c r="X309">
        <v>9</v>
      </c>
      <c r="Y309">
        <v>9</v>
      </c>
      <c r="Z309">
        <v>1979</v>
      </c>
      <c r="AA309" t="s">
        <v>70</v>
      </c>
      <c r="AB309" t="s">
        <v>946</v>
      </c>
      <c r="AC309" t="s">
        <v>98</v>
      </c>
      <c r="AD309" t="s">
        <v>99</v>
      </c>
      <c r="AE309">
        <v>1311</v>
      </c>
      <c r="AF309" t="s">
        <v>100</v>
      </c>
      <c r="AI309">
        <v>13110101</v>
      </c>
      <c r="AJ309" t="s">
        <v>102</v>
      </c>
      <c r="AM309">
        <v>211120</v>
      </c>
      <c r="AN309" t="s">
        <v>104</v>
      </c>
      <c r="AQ309" t="s">
        <v>75</v>
      </c>
      <c r="AT309" t="s">
        <v>76</v>
      </c>
      <c r="BF309">
        <v>0</v>
      </c>
      <c r="BG309">
        <v>0</v>
      </c>
      <c r="CK309" s="19">
        <f>IF(BQ309&gt;0,BQ309,W309)</f>
        <v>400000</v>
      </c>
      <c r="CL309" s="20">
        <f>IF(BS309&gt;0,BS309,Y309)</f>
        <v>9</v>
      </c>
      <c r="CM309" s="34">
        <f>IF(CG309&gt;0,CG309,AM309)</f>
        <v>211120</v>
      </c>
      <c r="CN309" s="80">
        <f>IF($BH309="",1,COUNTIF($BH$3:$BH309,$BH309))</f>
        <v>1</v>
      </c>
      <c r="CP309" t="str">
        <f>IF($K309="Standard Match","Match",IF($K309="Name Only Match",IF($CO309="Yes","Match","Name Only Match"),"No Match"))</f>
        <v>Match</v>
      </c>
      <c r="CQ309" s="35" t="str">
        <f>IF(AND(CP309="Match",CK309&gt;0,CL309&gt;0),"Y","N")</f>
        <v>Y</v>
      </c>
      <c r="CS309" t="str">
        <f>IF($CQ309="Y",VLOOKUP($CM309,'SBA Size Standards'!$B$3:$G$57,MATCH('SBA Size Standards'!$G$3,'SBA Size Standards'!$B$3:$G$3,0),FALSE),"")</f>
        <v>Employment</v>
      </c>
      <c r="CT309" s="60" t="str">
        <f>IF(CQ309="Y",IF($CS309="Employment","N/A",VLOOKUP($CM309,'SBA Size Standards'!$B$3:$G$57,MATCH('SBA Size Standards'!$E$3,'SBA Size Standards'!$B$3:$G$3,0),FALSE)),"")</f>
        <v>N/A</v>
      </c>
      <c r="CU309" s="86">
        <f>IF($CQ309="Y",IF($CS309="Revenue","N/A",VLOOKUP($CM309,'SBA Size Standards'!$B$3:$G$57,MATCH('SBA Size Standards'!$F$3,'SBA Size Standards'!$B$3:$G$3,0),FALSE)),"")</f>
        <v>1250</v>
      </c>
      <c r="CV309" t="str">
        <f>IF($CQ309="Y",IF(OR(AND($CS309="Employment",$CL309&lt;$CU309),AND($CS309="Revenue",$CK309&lt;$CT309)),"YES","NO"),"")</f>
        <v>YES</v>
      </c>
      <c r="CW309" s="90" t="str">
        <f>IF($CQ309="Y",INDEX('SBA Size Standards'!$N$3:$N$12,MATCH($CK309,'SBA Size Standards'!$O$3:$O$12,1)),"")</f>
        <v>$100,001 - $500,000</v>
      </c>
      <c r="CX309" s="122" t="s">
        <v>4587</v>
      </c>
      <c r="CY309" s="122">
        <f>INDEX('NM O&amp;G Production'!$P$3:$P$537,MATCH(CX309,'NM O&amp;G Production'!$Q$3:$Q$537,0))</f>
        <v>121</v>
      </c>
      <c r="CZ309" s="122" t="str">
        <f>INDEX('NM O&amp;G Production'!$O$3:$O$537,MATCH(CY309,'NM O&amp;G Production'!$P$3:$P$537,0))</f>
        <v>Yes</v>
      </c>
      <c r="DA309" s="127">
        <f>INDEX('NM O&amp;G Production'!$K$3:$O$537,MATCH($CY309,'NM O&amp;G Production'!$P$3:$P$537,0),MATCH(DA$2,'NM O&amp;G Production'!$K$2:$O$2,0))</f>
        <v>1</v>
      </c>
      <c r="DB309" s="127">
        <f>INDEX('NM O&amp;G Production'!$K$3:$O$537,MATCH($CY309,'NM O&amp;G Production'!$P$3:$P$537,0),MATCH(DB$2,'NM O&amp;G Production'!$K$2:$O$2,0))</f>
        <v>1</v>
      </c>
      <c r="DC309" s="127">
        <f>DA309+DB309</f>
        <v>2</v>
      </c>
      <c r="DD309" s="127">
        <f>INDEX('NM O&amp;G Production'!$K$3:$O$537,MATCH($CY309,'NM O&amp;G Production'!$P$3:$P$537,0),MATCH(DD$2,'NM O&amp;G Production'!$K$2:$O$2,0))</f>
        <v>67825</v>
      </c>
      <c r="DE309" s="127">
        <f>INDEX('NM O&amp;G Production'!$K$3:$O$537,MATCH($CY309,'NM O&amp;G Production'!$P$3:$P$537,0),MATCH(DE$2,'NM O&amp;G Production'!$K$2:$O$2,0))</f>
        <v>1805</v>
      </c>
      <c r="DF309" s="258">
        <f>CK309/(DB309+DA309)</f>
        <v>200000</v>
      </c>
      <c r="DG309" s="57">
        <f>DD309*(12/18)*1.06*'Oil and Gas Prices'!$C$18</f>
        <v>114551.90333333334</v>
      </c>
      <c r="DH309" s="284">
        <f>DE309*(12/18)*'Oil and Gas Prices'!$C$4</f>
        <v>54150</v>
      </c>
      <c r="DI309" s="284">
        <f>DG309+DH309</f>
        <v>168701.90333333332</v>
      </c>
      <c r="DJ309" s="57">
        <f>(DG309+DH309)/(DA309+DB309)</f>
        <v>84350.95166666666</v>
      </c>
      <c r="DK309" s="319"/>
    </row>
    <row r="310" spans="1:115" x14ac:dyDescent="0.25">
      <c r="A310" t="s">
        <v>2122</v>
      </c>
      <c r="B310" t="s">
        <v>2123</v>
      </c>
      <c r="D310" t="s">
        <v>153</v>
      </c>
      <c r="E310" t="s">
        <v>80</v>
      </c>
      <c r="F310">
        <v>79702</v>
      </c>
      <c r="G310" t="s">
        <v>62</v>
      </c>
      <c r="I310">
        <v>301</v>
      </c>
      <c r="J310" t="s">
        <v>63</v>
      </c>
      <c r="K310" t="s">
        <v>4133</v>
      </c>
      <c r="L310" t="s">
        <v>149</v>
      </c>
      <c r="M310">
        <v>10</v>
      </c>
      <c r="N310" t="s">
        <v>2124</v>
      </c>
      <c r="O310" t="s">
        <v>2125</v>
      </c>
      <c r="Q310" t="s">
        <v>2126</v>
      </c>
      <c r="R310" t="s">
        <v>153</v>
      </c>
      <c r="S310" t="s">
        <v>94</v>
      </c>
      <c r="T310" t="s">
        <v>2127</v>
      </c>
      <c r="U310" t="s">
        <v>62</v>
      </c>
      <c r="V310">
        <v>4326825671</v>
      </c>
      <c r="W310" s="1">
        <v>390000</v>
      </c>
      <c r="X310">
        <v>5</v>
      </c>
      <c r="Y310">
        <v>5</v>
      </c>
      <c r="Z310">
        <v>1963</v>
      </c>
      <c r="AA310" t="s">
        <v>70</v>
      </c>
      <c r="AB310" t="s">
        <v>2128</v>
      </c>
      <c r="AC310" t="s">
        <v>483</v>
      </c>
      <c r="AD310" t="s">
        <v>99</v>
      </c>
      <c r="AE310">
        <v>1311</v>
      </c>
      <c r="AF310" t="s">
        <v>100</v>
      </c>
      <c r="AI310">
        <v>13110101</v>
      </c>
      <c r="AJ310" t="s">
        <v>102</v>
      </c>
      <c r="AM310">
        <v>211120</v>
      </c>
      <c r="AN310" t="s">
        <v>104</v>
      </c>
      <c r="AQ310" t="s">
        <v>75</v>
      </c>
      <c r="AT310" t="s">
        <v>76</v>
      </c>
      <c r="BF310">
        <v>0</v>
      </c>
      <c r="BG310">
        <v>0</v>
      </c>
      <c r="CK310" s="19">
        <f>IF(BQ310&gt;0,BQ310,W310)</f>
        <v>390000</v>
      </c>
      <c r="CL310" s="20">
        <f>IF(BS310&gt;0,BS310,Y310)</f>
        <v>5</v>
      </c>
      <c r="CM310" s="34">
        <f>IF(CG310&gt;0,CG310,AM310)</f>
        <v>211120</v>
      </c>
      <c r="CN310" s="80">
        <f>IF($BH310="",1,COUNTIF($BH$3:$BH310,$BH310))</f>
        <v>1</v>
      </c>
      <c r="CP310" t="str">
        <f>IF($K310="Standard Match","Match",IF($K310="Name Only Match",IF($CO310="Yes","Match","Name Only Match"),"No Match"))</f>
        <v>Match</v>
      </c>
      <c r="CQ310" s="35" t="str">
        <f>IF(AND(CP310="Match",CK310&gt;0,CL310&gt;0),"Y","N")</f>
        <v>Y</v>
      </c>
      <c r="CS310" t="str">
        <f>IF($CQ310="Y",VLOOKUP($CM310,'SBA Size Standards'!$B$3:$G$57,MATCH('SBA Size Standards'!$G$3,'SBA Size Standards'!$B$3:$G$3,0),FALSE),"")</f>
        <v>Employment</v>
      </c>
      <c r="CT310" s="60" t="str">
        <f>IF(CQ310="Y",IF($CS310="Employment","N/A",VLOOKUP($CM310,'SBA Size Standards'!$B$3:$G$57,MATCH('SBA Size Standards'!$E$3,'SBA Size Standards'!$B$3:$G$3,0),FALSE)),"")</f>
        <v>N/A</v>
      </c>
      <c r="CU310" s="86">
        <f>IF($CQ310="Y",IF($CS310="Revenue","N/A",VLOOKUP($CM310,'SBA Size Standards'!$B$3:$G$57,MATCH('SBA Size Standards'!$F$3,'SBA Size Standards'!$B$3:$G$3,0),FALSE)),"")</f>
        <v>1250</v>
      </c>
      <c r="CV310" t="str">
        <f>IF($CQ310="Y",IF(OR(AND($CS310="Employment",$CL310&lt;$CU310),AND($CS310="Revenue",$CK310&lt;$CT310)),"YES","NO"),"")</f>
        <v>YES</v>
      </c>
      <c r="CW310" s="90" t="str">
        <f>IF($CQ310="Y",INDEX('SBA Size Standards'!$N$3:$N$12,MATCH($CK310,'SBA Size Standards'!$O$3:$O$12,1)),"")</f>
        <v>$100,001 - $500,000</v>
      </c>
      <c r="CX310" s="122" t="s">
        <v>4677</v>
      </c>
      <c r="CY310" s="122">
        <f>INDEX('NM O&amp;G Production'!$P$3:$P$537,MATCH(CX310,'NM O&amp;G Production'!$Q$3:$Q$537,0))</f>
        <v>301</v>
      </c>
      <c r="CZ310" s="122" t="str">
        <f>INDEX('NM O&amp;G Production'!$O$3:$O$537,MATCH(CY310,'NM O&amp;G Production'!$P$3:$P$537,0))</f>
        <v>Yes</v>
      </c>
      <c r="DA310" s="127">
        <f>INDEX('NM O&amp;G Production'!$K$3:$O$537,MATCH($CY310,'NM O&amp;G Production'!$P$3:$P$537,0),MATCH(DA$2,'NM O&amp;G Production'!$K$2:$O$2,0))</f>
        <v>0</v>
      </c>
      <c r="DB310" s="127">
        <f>INDEX('NM O&amp;G Production'!$K$3:$O$537,MATCH($CY310,'NM O&amp;G Production'!$P$3:$P$537,0),MATCH(DB$2,'NM O&amp;G Production'!$K$2:$O$2,0))</f>
        <v>3</v>
      </c>
      <c r="DC310" s="127">
        <f>DA310+DB310</f>
        <v>3</v>
      </c>
      <c r="DD310" s="127">
        <f>INDEX('NM O&amp;G Production'!$K$3:$O$537,MATCH($CY310,'NM O&amp;G Production'!$P$3:$P$537,0),MATCH(DD$2,'NM O&amp;G Production'!$K$2:$O$2,0))</f>
        <v>0</v>
      </c>
      <c r="DE310" s="127">
        <f>INDEX('NM O&amp;G Production'!$K$3:$O$537,MATCH($CY310,'NM O&amp;G Production'!$P$3:$P$537,0),MATCH(DE$2,'NM O&amp;G Production'!$K$2:$O$2,0))</f>
        <v>260</v>
      </c>
      <c r="DF310" s="258">
        <f>CK310/(DB310+DA310)</f>
        <v>130000</v>
      </c>
      <c r="DG310" s="57">
        <f>DD310*(12/18)*1.06*'Oil and Gas Prices'!$C$18</f>
        <v>0</v>
      </c>
      <c r="DH310" s="284">
        <f>DE310*(12/18)*'Oil and Gas Prices'!$C$4</f>
        <v>7799.9999999999991</v>
      </c>
      <c r="DI310" s="284">
        <f>DG310+DH310</f>
        <v>7799.9999999999991</v>
      </c>
      <c r="DJ310" s="57">
        <f>(DG310+DH310)/(DA310+DB310)</f>
        <v>2599.9999999999995</v>
      </c>
      <c r="DK310" s="319"/>
    </row>
    <row r="311" spans="1:115" x14ac:dyDescent="0.25">
      <c r="A311" t="s">
        <v>124</v>
      </c>
      <c r="B311" t="s">
        <v>125</v>
      </c>
      <c r="D311" t="s">
        <v>126</v>
      </c>
      <c r="E311" t="s">
        <v>80</v>
      </c>
      <c r="F311">
        <v>78746</v>
      </c>
      <c r="G311" t="s">
        <v>62</v>
      </c>
      <c r="I311">
        <v>9</v>
      </c>
      <c r="J311" t="s">
        <v>63</v>
      </c>
      <c r="K311" t="s">
        <v>4133</v>
      </c>
      <c r="L311" t="s">
        <v>113</v>
      </c>
      <c r="M311">
        <v>8</v>
      </c>
      <c r="N311" t="s">
        <v>127</v>
      </c>
      <c r="O311" t="s">
        <v>128</v>
      </c>
      <c r="P311" t="s">
        <v>129</v>
      </c>
      <c r="Q311" t="s">
        <v>130</v>
      </c>
      <c r="R311" t="s">
        <v>126</v>
      </c>
      <c r="S311" t="s">
        <v>94</v>
      </c>
      <c r="T311" t="s">
        <v>131</v>
      </c>
      <c r="U311" t="s">
        <v>62</v>
      </c>
      <c r="V311">
        <v>5127614643</v>
      </c>
      <c r="W311" s="1">
        <v>388907</v>
      </c>
      <c r="X311">
        <v>9</v>
      </c>
      <c r="Y311">
        <v>9</v>
      </c>
      <c r="Z311">
        <v>2015</v>
      </c>
      <c r="AA311" t="s">
        <v>70</v>
      </c>
      <c r="AB311" t="s">
        <v>132</v>
      </c>
      <c r="AC311" t="s">
        <v>133</v>
      </c>
      <c r="AD311" t="s">
        <v>119</v>
      </c>
      <c r="AE311">
        <v>1382</v>
      </c>
      <c r="AF311" t="s">
        <v>120</v>
      </c>
      <c r="AI311">
        <v>13829901</v>
      </c>
      <c r="AJ311" t="s">
        <v>134</v>
      </c>
      <c r="AM311">
        <v>213112</v>
      </c>
      <c r="AN311" t="s">
        <v>74</v>
      </c>
      <c r="AQ311" t="s">
        <v>75</v>
      </c>
      <c r="AT311" t="s">
        <v>76</v>
      </c>
      <c r="BF311">
        <v>0</v>
      </c>
      <c r="BG311">
        <v>0</v>
      </c>
      <c r="CK311" s="19">
        <f>IF(BQ311&gt;0,BQ311,W311)</f>
        <v>388907</v>
      </c>
      <c r="CL311" s="20">
        <f>IF(BS311&gt;0,BS311,Y311)</f>
        <v>9</v>
      </c>
      <c r="CM311" s="34">
        <f>IF(CG311&gt;0,CG311,AM311)</f>
        <v>213112</v>
      </c>
      <c r="CN311" s="80">
        <f>IF($BH311="",1,COUNTIF($BH$3:$BH311,$BH311))</f>
        <v>1</v>
      </c>
      <c r="CP311" t="str">
        <f>IF($K311="Standard Match","Match",IF($K311="Name Only Match",IF($CO311="Yes","Match","Name Only Match"),"No Match"))</f>
        <v>Match</v>
      </c>
      <c r="CQ311" s="35" t="str">
        <f>IF(AND(CP311="Match",CK311&gt;0,CL311&gt;0),"Y","N")</f>
        <v>Y</v>
      </c>
      <c r="CS311" t="str">
        <f>IF($CQ311="Y",VLOOKUP($CM311,'SBA Size Standards'!$B$3:$G$57,MATCH('SBA Size Standards'!$G$3,'SBA Size Standards'!$B$3:$G$3,0),FALSE),"")</f>
        <v>Revenue</v>
      </c>
      <c r="CT311" s="60">
        <f>IF(CQ311="Y",IF($CS311="Employment","N/A",VLOOKUP($CM311,'SBA Size Standards'!$B$3:$G$57,MATCH('SBA Size Standards'!$E$3,'SBA Size Standards'!$B$3:$G$3,0),FALSE)),"")</f>
        <v>41500000</v>
      </c>
      <c r="CU311" s="86" t="str">
        <f>IF($CQ311="Y",IF($CS311="Revenue","N/A",VLOOKUP($CM311,'SBA Size Standards'!$B$3:$G$57,MATCH('SBA Size Standards'!$F$3,'SBA Size Standards'!$B$3:$G$3,0),FALSE)),"")</f>
        <v>N/A</v>
      </c>
      <c r="CV311" t="str">
        <f>IF($CQ311="Y",IF(OR(AND($CS311="Employment",$CL311&lt;$CU311),AND($CS311="Revenue",$CK311&lt;$CT311)),"YES","NO"),"")</f>
        <v>YES</v>
      </c>
      <c r="CW311" s="90" t="str">
        <f>IF($CQ311="Y",INDEX('SBA Size Standards'!$N$3:$N$12,MATCH($CK311,'SBA Size Standards'!$O$3:$O$12,1)),"")</f>
        <v>$100,001 - $500,000</v>
      </c>
      <c r="CX311" s="122" t="s">
        <v>5061</v>
      </c>
      <c r="CY311" s="122">
        <f>INDEX('NM O&amp;G Production'!$P$3:$P$537,MATCH(CX311,'NM O&amp;G Production'!$Q$3:$Q$537,0))</f>
        <v>9</v>
      </c>
      <c r="CZ311" s="122" t="str">
        <f>INDEX('NM O&amp;G Production'!$O$3:$O$537,MATCH(CY311,'NM O&amp;G Production'!$P$3:$P$537,0))</f>
        <v>Yes</v>
      </c>
      <c r="DA311" s="127">
        <f>INDEX('NM O&amp;G Production'!$K$3:$O$537,MATCH($CY311,'NM O&amp;G Production'!$P$3:$P$537,0),MATCH(DA$2,'NM O&amp;G Production'!$K$2:$O$2,0))</f>
        <v>11</v>
      </c>
      <c r="DB311" s="127">
        <f>INDEX('NM O&amp;G Production'!$K$3:$O$537,MATCH($CY311,'NM O&amp;G Production'!$P$3:$P$537,0),MATCH(DB$2,'NM O&amp;G Production'!$K$2:$O$2,0))</f>
        <v>0</v>
      </c>
      <c r="DC311" s="127">
        <f>DA311+DB311</f>
        <v>11</v>
      </c>
      <c r="DD311" s="127">
        <f>INDEX('NM O&amp;G Production'!$K$3:$O$537,MATCH($CY311,'NM O&amp;G Production'!$P$3:$P$537,0),MATCH(DD$2,'NM O&amp;G Production'!$K$2:$O$2,0))</f>
        <v>5333012</v>
      </c>
      <c r="DE311" s="127">
        <f>INDEX('NM O&amp;G Production'!$K$3:$O$537,MATCH($CY311,'NM O&amp;G Production'!$P$3:$P$537,0),MATCH(DE$2,'NM O&amp;G Production'!$K$2:$O$2,0))</f>
        <v>1645326</v>
      </c>
      <c r="DF311" s="258">
        <f>CK311/(DB311+DA311)</f>
        <v>35355.181818181816</v>
      </c>
      <c r="DG311" s="57">
        <f>DD311*(12/18)*1.06*'Oil and Gas Prices'!$C$18</f>
        <v>9007101.7338666655</v>
      </c>
      <c r="DH311" s="284">
        <f>DE311*(12/18)*'Oil and Gas Prices'!$C$4</f>
        <v>49359780</v>
      </c>
      <c r="DI311" s="284">
        <f>DG311+DH311</f>
        <v>58366881.733866662</v>
      </c>
      <c r="DJ311" s="57">
        <f>(DG311+DH311)/(DA311+DB311)</f>
        <v>5306080.1576242419</v>
      </c>
      <c r="DK311" s="317"/>
    </row>
    <row r="312" spans="1:115" x14ac:dyDescent="0.25">
      <c r="A312" t="s">
        <v>2775</v>
      </c>
      <c r="B312" t="s">
        <v>2776</v>
      </c>
      <c r="D312" t="s">
        <v>153</v>
      </c>
      <c r="E312" t="s">
        <v>80</v>
      </c>
      <c r="F312">
        <v>79702</v>
      </c>
      <c r="G312" t="s">
        <v>62</v>
      </c>
      <c r="I312">
        <v>402</v>
      </c>
      <c r="J312" t="s">
        <v>63</v>
      </c>
      <c r="K312" t="s">
        <v>4133</v>
      </c>
      <c r="L312" t="s">
        <v>419</v>
      </c>
      <c r="M312">
        <v>8</v>
      </c>
      <c r="N312" t="s">
        <v>2777</v>
      </c>
      <c r="O312" t="s">
        <v>2778</v>
      </c>
      <c r="Q312" t="s">
        <v>2779</v>
      </c>
      <c r="R312" t="s">
        <v>153</v>
      </c>
      <c r="S312" t="s">
        <v>94</v>
      </c>
      <c r="T312" t="s">
        <v>2780</v>
      </c>
      <c r="U312" t="s">
        <v>62</v>
      </c>
      <c r="V312">
        <v>4326822554</v>
      </c>
      <c r="W312" s="1">
        <v>386334</v>
      </c>
      <c r="X312">
        <v>4</v>
      </c>
      <c r="Y312">
        <v>4</v>
      </c>
      <c r="Z312">
        <v>1987</v>
      </c>
      <c r="AA312" t="s">
        <v>70</v>
      </c>
      <c r="AB312" t="s">
        <v>2781</v>
      </c>
      <c r="AC312" t="s">
        <v>98</v>
      </c>
      <c r="AD312" t="s">
        <v>99</v>
      </c>
      <c r="AE312">
        <v>1311</v>
      </c>
      <c r="AF312" t="s">
        <v>100</v>
      </c>
      <c r="AI312">
        <v>13110100</v>
      </c>
      <c r="AJ312" t="s">
        <v>411</v>
      </c>
      <c r="AM312">
        <v>211120</v>
      </c>
      <c r="AN312" t="s">
        <v>104</v>
      </c>
      <c r="AQ312" t="s">
        <v>75</v>
      </c>
      <c r="AT312" t="s">
        <v>76</v>
      </c>
      <c r="BF312">
        <v>0</v>
      </c>
      <c r="BG312">
        <v>0</v>
      </c>
      <c r="CK312" s="19">
        <f>IF(BQ312&gt;0,BQ312,W312)</f>
        <v>386334</v>
      </c>
      <c r="CL312" s="20">
        <f>IF(BS312&gt;0,BS312,Y312)</f>
        <v>4</v>
      </c>
      <c r="CM312" s="34">
        <f>IF(CG312&gt;0,CG312,AM312)</f>
        <v>211120</v>
      </c>
      <c r="CN312" s="80">
        <f>IF($BH312="",1,COUNTIF($BH$3:$BH312,$BH312))</f>
        <v>1</v>
      </c>
      <c r="CP312" t="str">
        <f>IF($K312="Standard Match","Match",IF($K312="Name Only Match",IF($CO312="Yes","Match","Name Only Match"),"No Match"))</f>
        <v>Match</v>
      </c>
      <c r="CQ312" s="35" t="str">
        <f>IF(AND(CP312="Match",CK312&gt;0,CL312&gt;0),"Y","N")</f>
        <v>Y</v>
      </c>
      <c r="CS312" t="str">
        <f>IF($CQ312="Y",VLOOKUP($CM312,'SBA Size Standards'!$B$3:$G$57,MATCH('SBA Size Standards'!$G$3,'SBA Size Standards'!$B$3:$G$3,0),FALSE),"")</f>
        <v>Employment</v>
      </c>
      <c r="CT312" s="60" t="str">
        <f>IF(CQ312="Y",IF($CS312="Employment","N/A",VLOOKUP($CM312,'SBA Size Standards'!$B$3:$G$57,MATCH('SBA Size Standards'!$E$3,'SBA Size Standards'!$B$3:$G$3,0),FALSE)),"")</f>
        <v>N/A</v>
      </c>
      <c r="CU312" s="86">
        <f>IF($CQ312="Y",IF($CS312="Revenue","N/A",VLOOKUP($CM312,'SBA Size Standards'!$B$3:$G$57,MATCH('SBA Size Standards'!$F$3,'SBA Size Standards'!$B$3:$G$3,0),FALSE)),"")</f>
        <v>1250</v>
      </c>
      <c r="CV312" t="str">
        <f>IF($CQ312="Y",IF(OR(AND($CS312="Employment",$CL312&lt;$CU312),AND($CS312="Revenue",$CK312&lt;$CT312)),"YES","NO"),"")</f>
        <v>YES</v>
      </c>
      <c r="CW312" s="90" t="str">
        <f>IF($CQ312="Y",INDEX('SBA Size Standards'!$N$3:$N$12,MATCH($CK312,'SBA Size Standards'!$O$3:$O$12,1)),"")</f>
        <v>$100,001 - $500,000</v>
      </c>
      <c r="CX312" s="122" t="s">
        <v>4893</v>
      </c>
      <c r="CY312" s="122">
        <f>INDEX('NM O&amp;G Production'!$P$3:$P$537,MATCH(CX312,'NM O&amp;G Production'!$Q$3:$Q$537,0))</f>
        <v>402</v>
      </c>
      <c r="CZ312" s="122" t="str">
        <f>INDEX('NM O&amp;G Production'!$O$3:$O$537,MATCH(CY312,'NM O&amp;G Production'!$P$3:$P$537,0))</f>
        <v>Yes</v>
      </c>
      <c r="DA312" s="127">
        <f>INDEX('NM O&amp;G Production'!$K$3:$O$537,MATCH($CY312,'NM O&amp;G Production'!$P$3:$P$537,0),MATCH(DA$2,'NM O&amp;G Production'!$K$2:$O$2,0))</f>
        <v>2</v>
      </c>
      <c r="DB312" s="127">
        <f>INDEX('NM O&amp;G Production'!$K$3:$O$537,MATCH($CY312,'NM O&amp;G Production'!$P$3:$P$537,0),MATCH(DB$2,'NM O&amp;G Production'!$K$2:$O$2,0))</f>
        <v>3</v>
      </c>
      <c r="DC312" s="127">
        <f>DA312+DB312</f>
        <v>5</v>
      </c>
      <c r="DD312" s="127">
        <f>INDEX('NM O&amp;G Production'!$K$3:$O$537,MATCH($CY312,'NM O&amp;G Production'!$P$3:$P$537,0),MATCH(DD$2,'NM O&amp;G Production'!$K$2:$O$2,0))</f>
        <v>41694</v>
      </c>
      <c r="DE312" s="127">
        <f>INDEX('NM O&amp;G Production'!$K$3:$O$537,MATCH($CY312,'NM O&amp;G Production'!$P$3:$P$537,0),MATCH(DE$2,'NM O&amp;G Production'!$K$2:$O$2,0))</f>
        <v>13539</v>
      </c>
      <c r="DF312" s="258">
        <f>CK312/(DB312+DA312)</f>
        <v>77266.8</v>
      </c>
      <c r="DG312" s="57">
        <f>DD312*(12/18)*1.06*'Oil and Gas Prices'!$C$18</f>
        <v>70418.386400000003</v>
      </c>
      <c r="DH312" s="284">
        <f>DE312*(12/18)*'Oil and Gas Prices'!$C$4</f>
        <v>406170</v>
      </c>
      <c r="DI312" s="284">
        <f>DG312+DH312</f>
        <v>476588.38640000002</v>
      </c>
      <c r="DJ312" s="57">
        <f>(DG312+DH312)/(DA312+DB312)</f>
        <v>95317.677280000004</v>
      </c>
      <c r="DK312" s="319"/>
    </row>
    <row r="313" spans="1:115" x14ac:dyDescent="0.25">
      <c r="A313" t="s">
        <v>1981</v>
      </c>
      <c r="B313" t="s">
        <v>1623</v>
      </c>
      <c r="D313" t="s">
        <v>123</v>
      </c>
      <c r="E313" t="s">
        <v>84</v>
      </c>
      <c r="F313">
        <v>87402</v>
      </c>
      <c r="G313" t="s">
        <v>62</v>
      </c>
      <c r="I313">
        <v>276</v>
      </c>
      <c r="J313" t="s">
        <v>63</v>
      </c>
      <c r="K313" t="s">
        <v>4133</v>
      </c>
      <c r="L313" t="s">
        <v>64</v>
      </c>
      <c r="M313">
        <v>10</v>
      </c>
      <c r="N313" t="s">
        <v>1982</v>
      </c>
      <c r="O313" t="s">
        <v>1983</v>
      </c>
      <c r="Q313" t="s">
        <v>1623</v>
      </c>
      <c r="R313" t="s">
        <v>123</v>
      </c>
      <c r="S313" t="s">
        <v>214</v>
      </c>
      <c r="T313" t="s">
        <v>1984</v>
      </c>
      <c r="U313" t="s">
        <v>62</v>
      </c>
      <c r="V313">
        <v>5053276908</v>
      </c>
      <c r="W313" s="1">
        <v>371927</v>
      </c>
      <c r="X313">
        <v>2</v>
      </c>
      <c r="Y313">
        <v>2</v>
      </c>
      <c r="Z313">
        <v>2005</v>
      </c>
      <c r="AA313" t="s">
        <v>70</v>
      </c>
      <c r="AB313" t="s">
        <v>1985</v>
      </c>
      <c r="AC313" t="s">
        <v>98</v>
      </c>
      <c r="AD313" t="s">
        <v>1905</v>
      </c>
      <c r="AE313">
        <v>3533</v>
      </c>
      <c r="AF313" t="s">
        <v>1906</v>
      </c>
      <c r="AI313">
        <v>35339901</v>
      </c>
      <c r="AJ313" t="s">
        <v>1986</v>
      </c>
      <c r="AM313">
        <v>333132</v>
      </c>
      <c r="AN313" t="s">
        <v>1908</v>
      </c>
      <c r="AQ313" t="s">
        <v>75</v>
      </c>
      <c r="AT313" t="s">
        <v>76</v>
      </c>
      <c r="BF313">
        <v>0</v>
      </c>
      <c r="BG313">
        <v>0</v>
      </c>
      <c r="CK313" s="19">
        <f>IF(BQ313&gt;0,BQ313,W313)</f>
        <v>371927</v>
      </c>
      <c r="CL313" s="20">
        <f>IF(BS313&gt;0,BS313,Y313)</f>
        <v>2</v>
      </c>
      <c r="CM313" s="34">
        <f>IF(CG313&gt;0,CG313,AM313)</f>
        <v>333132</v>
      </c>
      <c r="CN313" s="80">
        <f>IF($BH313="",1,COUNTIF($BH$3:$BH313,$BH313))</f>
        <v>1</v>
      </c>
      <c r="CP313" t="str">
        <f>IF($K313="Standard Match","Match",IF($K313="Name Only Match",IF($CO313="Yes","Match","Name Only Match"),"No Match"))</f>
        <v>Match</v>
      </c>
      <c r="CQ313" s="35" t="str">
        <f>IF(AND(CP313="Match",CK313&gt;0,CL313&gt;0),"Y","N")</f>
        <v>Y</v>
      </c>
      <c r="CS313" t="str">
        <f>IF($CQ313="Y",VLOOKUP($CM313,'SBA Size Standards'!$B$3:$G$57,MATCH('SBA Size Standards'!$G$3,'SBA Size Standards'!$B$3:$G$3,0),FALSE),"")</f>
        <v>Employment</v>
      </c>
      <c r="CT313" s="60" t="str">
        <f>IF(CQ313="Y",IF($CS313="Employment","N/A",VLOOKUP($CM313,'SBA Size Standards'!$B$3:$G$57,MATCH('SBA Size Standards'!$E$3,'SBA Size Standards'!$B$3:$G$3,0),FALSE)),"")</f>
        <v>N/A</v>
      </c>
      <c r="CU313" s="86">
        <f>IF($CQ313="Y",IF($CS313="Revenue","N/A",VLOOKUP($CM313,'SBA Size Standards'!$B$3:$G$57,MATCH('SBA Size Standards'!$F$3,'SBA Size Standards'!$B$3:$G$3,0),FALSE)),"")</f>
        <v>1250</v>
      </c>
      <c r="CV313" t="str">
        <f>IF($CQ313="Y",IF(OR(AND($CS313="Employment",$CL313&lt;$CU313),AND($CS313="Revenue",$CK313&lt;$CT313)),"YES","NO"),"")</f>
        <v>YES</v>
      </c>
      <c r="CW313" s="90" t="str">
        <f>IF($CQ313="Y",INDEX('SBA Size Standards'!$N$3:$N$12,MATCH($CK313,'SBA Size Standards'!$O$3:$O$12,1)),"")</f>
        <v>$100,001 - $500,000</v>
      </c>
      <c r="CX313" s="122" t="s">
        <v>4665</v>
      </c>
      <c r="CY313" s="122">
        <f>INDEX('NM O&amp;G Production'!$P$3:$P$537,MATCH(CX313,'NM O&amp;G Production'!$Q$3:$Q$537,0))</f>
        <v>276</v>
      </c>
      <c r="CZ313" s="122" t="str">
        <f>INDEX('NM O&amp;G Production'!$O$3:$O$537,MATCH(CY313,'NM O&amp;G Production'!$P$3:$P$537,0))</f>
        <v>Yes</v>
      </c>
      <c r="DA313" s="127">
        <f>INDEX('NM O&amp;G Production'!$K$3:$O$537,MATCH($CY313,'NM O&amp;G Production'!$P$3:$P$537,0),MATCH(DA$2,'NM O&amp;G Production'!$K$2:$O$2,0))</f>
        <v>3</v>
      </c>
      <c r="DB313" s="127">
        <f>INDEX('NM O&amp;G Production'!$K$3:$O$537,MATCH($CY313,'NM O&amp;G Production'!$P$3:$P$537,0),MATCH(DB$2,'NM O&amp;G Production'!$K$2:$O$2,0))</f>
        <v>34</v>
      </c>
      <c r="DC313" s="127">
        <f>DA313+DB313</f>
        <v>37</v>
      </c>
      <c r="DD313" s="127">
        <f>INDEX('NM O&amp;G Production'!$K$3:$O$537,MATCH($CY313,'NM O&amp;G Production'!$P$3:$P$537,0),MATCH(DD$2,'NM O&amp;G Production'!$K$2:$O$2,0))</f>
        <v>43646</v>
      </c>
      <c r="DE313" s="127">
        <f>INDEX('NM O&amp;G Production'!$K$3:$O$537,MATCH($CY313,'NM O&amp;G Production'!$P$3:$P$537,0),MATCH(DE$2,'NM O&amp;G Production'!$K$2:$O$2,0))</f>
        <v>0</v>
      </c>
      <c r="DF313" s="258">
        <f>CK313/(DB313+DA313)</f>
        <v>10052.081081081082</v>
      </c>
      <c r="DG313" s="57">
        <f>DD313*(12/18)*1.06*'Oil and Gas Prices'!$C$18</f>
        <v>73715.184266666663</v>
      </c>
      <c r="DH313" s="284">
        <f>DE313*(12/18)*'Oil and Gas Prices'!$C$4</f>
        <v>0</v>
      </c>
      <c r="DI313" s="284">
        <f>DG313+DH313</f>
        <v>73715.184266666663</v>
      </c>
      <c r="DJ313" s="57">
        <f>(DG313+DH313)/(DA313+DB313)</f>
        <v>1992.3022774774774</v>
      </c>
      <c r="DK313" s="318"/>
    </row>
    <row r="314" spans="1:115" x14ac:dyDescent="0.25">
      <c r="A314" t="s">
        <v>476</v>
      </c>
      <c r="B314" t="s">
        <v>477</v>
      </c>
      <c r="D314" t="s">
        <v>83</v>
      </c>
      <c r="E314" t="s">
        <v>84</v>
      </c>
      <c r="F314">
        <v>88211</v>
      </c>
      <c r="G314" t="s">
        <v>62</v>
      </c>
      <c r="I314">
        <v>59</v>
      </c>
      <c r="J314" t="s">
        <v>404</v>
      </c>
      <c r="K314" t="s">
        <v>4133</v>
      </c>
      <c r="L314" t="s">
        <v>279</v>
      </c>
      <c r="M314">
        <v>8</v>
      </c>
      <c r="N314" t="s">
        <v>478</v>
      </c>
      <c r="O314" t="s">
        <v>479</v>
      </c>
      <c r="Q314" t="s">
        <v>480</v>
      </c>
      <c r="R314" t="s">
        <v>83</v>
      </c>
      <c r="S314" t="s">
        <v>214</v>
      </c>
      <c r="T314" t="s">
        <v>481</v>
      </c>
      <c r="U314" t="s">
        <v>62</v>
      </c>
      <c r="V314">
        <v>5057464682</v>
      </c>
      <c r="W314" s="1">
        <v>350000</v>
      </c>
      <c r="X314">
        <v>4</v>
      </c>
      <c r="Y314">
        <v>4</v>
      </c>
      <c r="Z314">
        <v>1990</v>
      </c>
      <c r="AA314" t="s">
        <v>70</v>
      </c>
      <c r="AB314" t="s">
        <v>482</v>
      </c>
      <c r="AC314" t="s">
        <v>483</v>
      </c>
      <c r="AD314" t="s">
        <v>99</v>
      </c>
      <c r="AE314">
        <v>1311</v>
      </c>
      <c r="AF314" t="s">
        <v>100</v>
      </c>
      <c r="AI314">
        <v>13110101</v>
      </c>
      <c r="AJ314" t="s">
        <v>102</v>
      </c>
      <c r="AM314">
        <v>211120</v>
      </c>
      <c r="AN314" t="s">
        <v>104</v>
      </c>
      <c r="AQ314" t="s">
        <v>75</v>
      </c>
      <c r="AT314" t="s">
        <v>76</v>
      </c>
      <c r="BF314">
        <v>0</v>
      </c>
      <c r="BG314">
        <v>0</v>
      </c>
      <c r="CK314" s="19">
        <f>IF(BQ314&gt;0,BQ314,W314)</f>
        <v>350000</v>
      </c>
      <c r="CL314" s="20">
        <f>IF(BS314&gt;0,BS314,Y314)</f>
        <v>4</v>
      </c>
      <c r="CM314" s="34">
        <f>IF(CG314&gt;0,CG314,AM314)</f>
        <v>211120</v>
      </c>
      <c r="CN314" s="80">
        <f>IF($BH314="",1,COUNTIF($BH$3:$BH314,$BH314))</f>
        <v>1</v>
      </c>
      <c r="CP314" t="str">
        <f>IF($K314="Standard Match","Match",IF($K314="Name Only Match",IF($CO314="Yes","Match","Name Only Match"),"No Match"))</f>
        <v>Match</v>
      </c>
      <c r="CQ314" s="35" t="str">
        <f>IF(AND(CP314="Match",CK314&gt;0,CL314&gt;0),"Y","N")</f>
        <v>Y</v>
      </c>
      <c r="CS314" t="str">
        <f>IF($CQ314="Y",VLOOKUP($CM314,'SBA Size Standards'!$B$3:$G$57,MATCH('SBA Size Standards'!$G$3,'SBA Size Standards'!$B$3:$G$3,0),FALSE),"")</f>
        <v>Employment</v>
      </c>
      <c r="CT314" s="60" t="str">
        <f>IF(CQ314="Y",IF($CS314="Employment","N/A",VLOOKUP($CM314,'SBA Size Standards'!$B$3:$G$57,MATCH('SBA Size Standards'!$E$3,'SBA Size Standards'!$B$3:$G$3,0),FALSE)),"")</f>
        <v>N/A</v>
      </c>
      <c r="CU314" s="86">
        <f>IF($CQ314="Y",IF($CS314="Revenue","N/A",VLOOKUP($CM314,'SBA Size Standards'!$B$3:$G$57,MATCH('SBA Size Standards'!$F$3,'SBA Size Standards'!$B$3:$G$3,0),FALSE)),"")</f>
        <v>1250</v>
      </c>
      <c r="CV314" t="str">
        <f>IF($CQ314="Y",IF(OR(AND($CS314="Employment",$CL314&lt;$CU314),AND($CS314="Revenue",$CK314&lt;$CT314)),"YES","NO"),"")</f>
        <v>YES</v>
      </c>
      <c r="CW314" s="90" t="str">
        <f>IF($CQ314="Y",INDEX('SBA Size Standards'!$N$3:$N$12,MATCH($CK314,'SBA Size Standards'!$O$3:$O$12,1)),"")</f>
        <v>$100,001 - $500,000</v>
      </c>
      <c r="CX314" s="122" t="s">
        <v>4810</v>
      </c>
      <c r="CY314" s="122">
        <f>INDEX('NM O&amp;G Production'!$P$3:$P$537,MATCH(CX314,'NM O&amp;G Production'!$Q$3:$Q$537,0))</f>
        <v>59</v>
      </c>
      <c r="CZ314" s="122" t="str">
        <f>INDEX('NM O&amp;G Production'!$O$3:$O$537,MATCH(CY314,'NM O&amp;G Production'!$P$3:$P$537,0))</f>
        <v>Yes</v>
      </c>
      <c r="DA314" s="127">
        <f>INDEX('NM O&amp;G Production'!$K$3:$O$537,MATCH($CY314,'NM O&amp;G Production'!$P$3:$P$537,0),MATCH(DA$2,'NM O&amp;G Production'!$K$2:$O$2,0))</f>
        <v>0</v>
      </c>
      <c r="DB314" s="127">
        <f>INDEX('NM O&amp;G Production'!$K$3:$O$537,MATCH($CY314,'NM O&amp;G Production'!$P$3:$P$537,0),MATCH(DB$2,'NM O&amp;G Production'!$K$2:$O$2,0))</f>
        <v>14</v>
      </c>
      <c r="DC314" s="127">
        <f>DA314+DB314</f>
        <v>14</v>
      </c>
      <c r="DD314" s="127">
        <f>INDEX('NM O&amp;G Production'!$K$3:$O$537,MATCH($CY314,'NM O&amp;G Production'!$P$3:$P$537,0),MATCH(DD$2,'NM O&amp;G Production'!$K$2:$O$2,0))</f>
        <v>0</v>
      </c>
      <c r="DE314" s="127">
        <f>INDEX('NM O&amp;G Production'!$K$3:$O$537,MATCH($CY314,'NM O&amp;G Production'!$P$3:$P$537,0),MATCH(DE$2,'NM O&amp;G Production'!$K$2:$O$2,0))</f>
        <v>3030</v>
      </c>
      <c r="DF314" s="258">
        <f>CK314/(DB314+DA314)</f>
        <v>25000</v>
      </c>
      <c r="DG314" s="57">
        <f>DD314*(12/18)*1.06*'Oil and Gas Prices'!$C$18</f>
        <v>0</v>
      </c>
      <c r="DH314" s="284">
        <f>DE314*(12/18)*'Oil and Gas Prices'!$C$4</f>
        <v>90900</v>
      </c>
      <c r="DI314" s="284">
        <f>DG314+DH314</f>
        <v>90900</v>
      </c>
      <c r="DJ314" s="57">
        <f>(DG314+DH314)/(DA314+DB314)</f>
        <v>6492.8571428571431</v>
      </c>
      <c r="DK314" s="318"/>
    </row>
    <row r="315" spans="1:115" x14ac:dyDescent="0.25">
      <c r="A315" t="s">
        <v>2625</v>
      </c>
      <c r="B315" t="s">
        <v>2626</v>
      </c>
      <c r="D315" t="s">
        <v>2627</v>
      </c>
      <c r="E315" t="s">
        <v>84</v>
      </c>
      <c r="F315">
        <v>88255</v>
      </c>
      <c r="G315" t="s">
        <v>62</v>
      </c>
      <c r="I315">
        <v>380</v>
      </c>
      <c r="J315" t="s">
        <v>63</v>
      </c>
      <c r="K315" t="s">
        <v>4133</v>
      </c>
      <c r="L315" t="s">
        <v>149</v>
      </c>
      <c r="M315">
        <v>10</v>
      </c>
      <c r="N315" t="s">
        <v>2628</v>
      </c>
      <c r="O315" t="s">
        <v>2629</v>
      </c>
      <c r="Q315" t="s">
        <v>2630</v>
      </c>
      <c r="R315" t="s">
        <v>2627</v>
      </c>
      <c r="S315" t="s">
        <v>214</v>
      </c>
      <c r="T315">
        <v>88255</v>
      </c>
      <c r="U315" t="s">
        <v>62</v>
      </c>
      <c r="V315">
        <v>5756772370</v>
      </c>
      <c r="W315" s="1">
        <v>348244</v>
      </c>
      <c r="X315">
        <v>2</v>
      </c>
      <c r="Y315">
        <v>2</v>
      </c>
      <c r="Z315">
        <v>1981</v>
      </c>
      <c r="AA315" t="s">
        <v>70</v>
      </c>
      <c r="AB315" t="s">
        <v>2631</v>
      </c>
      <c r="AC315" t="s">
        <v>98</v>
      </c>
      <c r="AD315" t="s">
        <v>2632</v>
      </c>
      <c r="AE315">
        <v>6211</v>
      </c>
      <c r="AF315" t="s">
        <v>101</v>
      </c>
      <c r="AI315">
        <v>62110303</v>
      </c>
      <c r="AJ315" t="s">
        <v>103</v>
      </c>
      <c r="AM315">
        <v>523999</v>
      </c>
      <c r="AN315" t="s">
        <v>105</v>
      </c>
      <c r="AQ315" t="s">
        <v>75</v>
      </c>
      <c r="AT315" t="s">
        <v>76</v>
      </c>
      <c r="BF315">
        <v>0</v>
      </c>
      <c r="BG315">
        <v>0</v>
      </c>
      <c r="CK315" s="19">
        <f>IF(BQ315&gt;0,BQ315,W315)</f>
        <v>348244</v>
      </c>
      <c r="CL315" s="20">
        <f>IF(BS315&gt;0,BS315,Y315)</f>
        <v>2</v>
      </c>
      <c r="CM315" s="34">
        <f>IF(CG315&gt;0,CG315,AM315)</f>
        <v>523999</v>
      </c>
      <c r="CN315" s="80">
        <f>IF($BH315="",1,COUNTIF($BH$3:$BH315,$BH315))</f>
        <v>1</v>
      </c>
      <c r="CP315" t="str">
        <f>IF($K315="Standard Match","Match",IF($K315="Name Only Match",IF($CO315="Yes","Match","Name Only Match"),"No Match"))</f>
        <v>Match</v>
      </c>
      <c r="CQ315" s="35" t="str">
        <f>IF(AND(CP315="Match",CK315&gt;0,CL315&gt;0),"Y","N")</f>
        <v>Y</v>
      </c>
      <c r="CS315" t="str">
        <f>IF($CQ315="Y",VLOOKUP($CM315,'SBA Size Standards'!$B$3:$G$57,MATCH('SBA Size Standards'!$G$3,'SBA Size Standards'!$B$3:$G$3,0),FALSE),"")</f>
        <v>Revenue</v>
      </c>
      <c r="CT315" s="60">
        <f>IF(CQ315="Y",IF($CS315="Employment","N/A",VLOOKUP($CM315,'SBA Size Standards'!$B$3:$G$57,MATCH('SBA Size Standards'!$E$3,'SBA Size Standards'!$B$3:$G$3,0),FALSE)),"")</f>
        <v>41500000</v>
      </c>
      <c r="CU315" s="86" t="str">
        <f>IF($CQ315="Y",IF($CS315="Revenue","N/A",VLOOKUP($CM315,'SBA Size Standards'!$B$3:$G$57,MATCH('SBA Size Standards'!$F$3,'SBA Size Standards'!$B$3:$G$3,0),FALSE)),"")</f>
        <v>N/A</v>
      </c>
      <c r="CV315" t="str">
        <f>IF($CQ315="Y",IF(OR(AND($CS315="Employment",$CL315&lt;$CU315),AND($CS315="Revenue",$CK315&lt;$CT315)),"YES","NO"),"")</f>
        <v>YES</v>
      </c>
      <c r="CW315" s="90" t="str">
        <f>IF($CQ315="Y",INDEX('SBA Size Standards'!$N$3:$N$12,MATCH($CK315,'SBA Size Standards'!$O$3:$O$12,1)),"")</f>
        <v>$100,001 - $500,000</v>
      </c>
      <c r="CX315" s="122" t="s">
        <v>4711</v>
      </c>
      <c r="CY315" s="122">
        <f>INDEX('NM O&amp;G Production'!$P$3:$P$537,MATCH(CX315,'NM O&amp;G Production'!$Q$3:$Q$537,0))</f>
        <v>380</v>
      </c>
      <c r="CZ315" s="122" t="str">
        <f>INDEX('NM O&amp;G Production'!$O$3:$O$537,MATCH(CY315,'NM O&amp;G Production'!$P$3:$P$537,0))</f>
        <v>Yes</v>
      </c>
      <c r="DA315" s="127">
        <f>INDEX('NM O&amp;G Production'!$K$3:$O$537,MATCH($CY315,'NM O&amp;G Production'!$P$3:$P$537,0),MATCH(DA$2,'NM O&amp;G Production'!$K$2:$O$2,0))</f>
        <v>3</v>
      </c>
      <c r="DB315" s="127">
        <f>INDEX('NM O&amp;G Production'!$K$3:$O$537,MATCH($CY315,'NM O&amp;G Production'!$P$3:$P$537,0),MATCH(DB$2,'NM O&amp;G Production'!$K$2:$O$2,0))</f>
        <v>71</v>
      </c>
      <c r="DC315" s="127">
        <f>DA315+DB315</f>
        <v>74</v>
      </c>
      <c r="DD315" s="127">
        <f>INDEX('NM O&amp;G Production'!$K$3:$O$537,MATCH($CY315,'NM O&amp;G Production'!$P$3:$P$537,0),MATCH(DD$2,'NM O&amp;G Production'!$K$2:$O$2,0))</f>
        <v>32338</v>
      </c>
      <c r="DE315" s="127">
        <f>INDEX('NM O&amp;G Production'!$K$3:$O$537,MATCH($CY315,'NM O&amp;G Production'!$P$3:$P$537,0),MATCH(DE$2,'NM O&amp;G Production'!$K$2:$O$2,0))</f>
        <v>32060</v>
      </c>
      <c r="DF315" s="258">
        <f>CK315/(DB315+DA315)</f>
        <v>4706</v>
      </c>
      <c r="DG315" s="57">
        <f>DD315*(12/18)*1.06*'Oil and Gas Prices'!$C$18</f>
        <v>54616.72613333333</v>
      </c>
      <c r="DH315" s="284">
        <f>DE315*(12/18)*'Oil and Gas Prices'!$C$4</f>
        <v>961800</v>
      </c>
      <c r="DI315" s="284">
        <f>DG315+DH315</f>
        <v>1016416.7261333333</v>
      </c>
      <c r="DJ315" s="57">
        <f>(DG315+DH315)/(DA315+DB315)</f>
        <v>13735.361163963964</v>
      </c>
      <c r="DK315" s="318"/>
    </row>
    <row r="316" spans="1:115" x14ac:dyDescent="0.25">
      <c r="A316" t="s">
        <v>2684</v>
      </c>
      <c r="B316" t="s">
        <v>2685</v>
      </c>
      <c r="D316" t="s">
        <v>329</v>
      </c>
      <c r="E316" t="s">
        <v>61</v>
      </c>
      <c r="F316">
        <v>801600627</v>
      </c>
      <c r="G316" t="s">
        <v>62</v>
      </c>
      <c r="I316">
        <v>388</v>
      </c>
      <c r="J316" t="s">
        <v>89</v>
      </c>
      <c r="K316" t="s">
        <v>4133</v>
      </c>
      <c r="L316" t="s">
        <v>149</v>
      </c>
      <c r="M316">
        <v>10</v>
      </c>
      <c r="N316" t="s">
        <v>2686</v>
      </c>
      <c r="O316" t="s">
        <v>2687</v>
      </c>
      <c r="Q316" t="s">
        <v>2688</v>
      </c>
      <c r="R316" t="s">
        <v>60</v>
      </c>
      <c r="S316" t="s">
        <v>68</v>
      </c>
      <c r="T316" t="s">
        <v>2689</v>
      </c>
      <c r="U316" t="s">
        <v>62</v>
      </c>
      <c r="V316">
        <v>4326838873</v>
      </c>
      <c r="W316" s="1">
        <v>338458</v>
      </c>
      <c r="X316">
        <v>5</v>
      </c>
      <c r="Y316">
        <v>5</v>
      </c>
      <c r="Z316">
        <v>2012</v>
      </c>
      <c r="AA316" t="s">
        <v>70</v>
      </c>
      <c r="AB316" t="s">
        <v>2690</v>
      </c>
      <c r="AC316" t="s">
        <v>2691</v>
      </c>
      <c r="AD316" t="s">
        <v>2692</v>
      </c>
      <c r="AE316">
        <v>1623</v>
      </c>
      <c r="AF316" t="s">
        <v>2693</v>
      </c>
      <c r="AI316">
        <v>16230103</v>
      </c>
      <c r="AJ316" t="s">
        <v>2694</v>
      </c>
      <c r="AM316">
        <v>237120</v>
      </c>
      <c r="AN316" t="s">
        <v>413</v>
      </c>
      <c r="AQ316" t="s">
        <v>75</v>
      </c>
      <c r="AT316" t="s">
        <v>76</v>
      </c>
      <c r="BF316">
        <v>0</v>
      </c>
      <c r="BG316">
        <v>0</v>
      </c>
      <c r="CK316" s="19">
        <f>IF(BQ316&gt;0,BQ316,W316)</f>
        <v>338458</v>
      </c>
      <c r="CL316" s="20">
        <f>IF(BS316&gt;0,BS316,Y316)</f>
        <v>5</v>
      </c>
      <c r="CM316" s="34">
        <f>IF(CG316&gt;0,CG316,AM316)</f>
        <v>237120</v>
      </c>
      <c r="CN316" s="80">
        <f>IF($BH316="",1,COUNTIF($BH$3:$BH316,$BH316))</f>
        <v>1</v>
      </c>
      <c r="CP316" t="str">
        <f>IF($K316="Standard Match","Match",IF($K316="Name Only Match",IF($CO316="Yes","Match","Name Only Match"),"No Match"))</f>
        <v>Match</v>
      </c>
      <c r="CQ316" s="35" t="str">
        <f>IF(AND(CP316="Match",CK316&gt;0,CL316&gt;0),"Y","N")</f>
        <v>Y</v>
      </c>
      <c r="CS316" t="str">
        <f>IF($CQ316="Y",VLOOKUP($CM316,'SBA Size Standards'!$B$3:$G$57,MATCH('SBA Size Standards'!$G$3,'SBA Size Standards'!$B$3:$G$3,0),FALSE),"")</f>
        <v>Revenue</v>
      </c>
      <c r="CT316" s="60">
        <f>IF(CQ316="Y",IF($CS316="Employment","N/A",VLOOKUP($CM316,'SBA Size Standards'!$B$3:$G$57,MATCH('SBA Size Standards'!$E$3,'SBA Size Standards'!$B$3:$G$3,0),FALSE)),"")</f>
        <v>39500000</v>
      </c>
      <c r="CU316" s="86" t="str">
        <f>IF($CQ316="Y",IF($CS316="Revenue","N/A",VLOOKUP($CM316,'SBA Size Standards'!$B$3:$G$57,MATCH('SBA Size Standards'!$F$3,'SBA Size Standards'!$B$3:$G$3,0),FALSE)),"")</f>
        <v>N/A</v>
      </c>
      <c r="CV316" t="str">
        <f>IF($CQ316="Y",IF(OR(AND($CS316="Employment",$CL316&lt;$CU316),AND($CS316="Revenue",$CK316&lt;$CT316)),"YES","NO"),"")</f>
        <v>YES</v>
      </c>
      <c r="CW316" s="90" t="str">
        <f>IF($CQ316="Y",INDEX('SBA Size Standards'!$N$3:$N$12,MATCH($CK316,'SBA Size Standards'!$O$3:$O$12,1)),"")</f>
        <v>$100,001 - $500,000</v>
      </c>
      <c r="CX316" s="122" t="s">
        <v>4717</v>
      </c>
      <c r="CY316" s="122">
        <f>INDEX('NM O&amp;G Production'!$P$3:$P$537,MATCH(CX316,'NM O&amp;G Production'!$Q$3:$Q$537,0))</f>
        <v>388</v>
      </c>
      <c r="CZ316" s="122" t="str">
        <f>INDEX('NM O&amp;G Production'!$O$3:$O$537,MATCH(CY316,'NM O&amp;G Production'!$P$3:$P$537,0))</f>
        <v>Yes</v>
      </c>
      <c r="DA316" s="127">
        <f>INDEX('NM O&amp;G Production'!$K$3:$O$537,MATCH($CY316,'NM O&amp;G Production'!$P$3:$P$537,0),MATCH(DA$2,'NM O&amp;G Production'!$K$2:$O$2,0))</f>
        <v>2</v>
      </c>
      <c r="DB316" s="127">
        <f>INDEX('NM O&amp;G Production'!$K$3:$O$537,MATCH($CY316,'NM O&amp;G Production'!$P$3:$P$537,0),MATCH(DB$2,'NM O&amp;G Production'!$K$2:$O$2,0))</f>
        <v>25</v>
      </c>
      <c r="DC316" s="127">
        <f>DA316+DB316</f>
        <v>27</v>
      </c>
      <c r="DD316" s="127">
        <f>INDEX('NM O&amp;G Production'!$K$3:$O$537,MATCH($CY316,'NM O&amp;G Production'!$P$3:$P$537,0),MATCH(DD$2,'NM O&amp;G Production'!$K$2:$O$2,0))</f>
        <v>32269</v>
      </c>
      <c r="DE316" s="127">
        <f>INDEX('NM O&amp;G Production'!$K$3:$O$537,MATCH($CY316,'NM O&amp;G Production'!$P$3:$P$537,0),MATCH(DE$2,'NM O&amp;G Production'!$K$2:$O$2,0))</f>
        <v>28565</v>
      </c>
      <c r="DF316" s="258">
        <f>CK316/(DB316+DA316)</f>
        <v>12535.481481481482</v>
      </c>
      <c r="DG316" s="57">
        <f>DD316*(12/18)*1.06*'Oil and Gas Prices'!$C$18</f>
        <v>54500.189733333333</v>
      </c>
      <c r="DH316" s="284">
        <f>DE316*(12/18)*'Oil and Gas Prices'!$C$4</f>
        <v>856950</v>
      </c>
      <c r="DI316" s="284">
        <f>DG316+DH316</f>
        <v>911450.1897333333</v>
      </c>
      <c r="DJ316" s="57">
        <f>(DG316+DH316)/(DA316+DB316)</f>
        <v>33757.414434567901</v>
      </c>
      <c r="DK316" s="318"/>
    </row>
    <row r="317" spans="1:115" x14ac:dyDescent="0.25">
      <c r="A317" t="s">
        <v>970</v>
      </c>
      <c r="B317" t="s">
        <v>971</v>
      </c>
      <c r="D317" t="s">
        <v>972</v>
      </c>
      <c r="E317" t="s">
        <v>973</v>
      </c>
      <c r="F317">
        <v>33606</v>
      </c>
      <c r="G317" t="s">
        <v>62</v>
      </c>
      <c r="I317">
        <v>126</v>
      </c>
      <c r="J317" t="s">
        <v>63</v>
      </c>
      <c r="K317" t="s">
        <v>4133</v>
      </c>
      <c r="L317" t="s">
        <v>64</v>
      </c>
      <c r="M317">
        <v>10</v>
      </c>
      <c r="N317" t="s">
        <v>974</v>
      </c>
      <c r="O317" t="s">
        <v>975</v>
      </c>
      <c r="Q317" t="s">
        <v>976</v>
      </c>
      <c r="R317" t="s">
        <v>972</v>
      </c>
      <c r="S317" t="s">
        <v>977</v>
      </c>
      <c r="T317" t="s">
        <v>978</v>
      </c>
      <c r="U317" t="s">
        <v>62</v>
      </c>
      <c r="V317">
        <v>8138373009</v>
      </c>
      <c r="W317" s="1">
        <v>332667</v>
      </c>
      <c r="X317">
        <v>2</v>
      </c>
      <c r="Y317">
        <v>2</v>
      </c>
      <c r="Z317">
        <v>2008</v>
      </c>
      <c r="AA317" t="s">
        <v>70</v>
      </c>
      <c r="AB317" t="s">
        <v>979</v>
      </c>
      <c r="AC317" t="s">
        <v>133</v>
      </c>
      <c r="AD317" t="s">
        <v>119</v>
      </c>
      <c r="AE317">
        <v>1382</v>
      </c>
      <c r="AF317" t="s">
        <v>120</v>
      </c>
      <c r="AI317">
        <v>13820000</v>
      </c>
      <c r="AJ317" t="s">
        <v>119</v>
      </c>
      <c r="AM317">
        <v>213112</v>
      </c>
      <c r="AN317" t="s">
        <v>74</v>
      </c>
      <c r="AQ317" t="s">
        <v>75</v>
      </c>
      <c r="AT317" t="s">
        <v>76</v>
      </c>
      <c r="BF317">
        <v>0</v>
      </c>
      <c r="BG317">
        <v>0</v>
      </c>
      <c r="CK317" s="19">
        <f>IF(BQ317&gt;0,BQ317,W317)</f>
        <v>332667</v>
      </c>
      <c r="CL317" s="20">
        <f>IF(BS317&gt;0,BS317,Y317)</f>
        <v>2</v>
      </c>
      <c r="CM317" s="34">
        <f>IF(CG317&gt;0,CG317,AM317)</f>
        <v>213112</v>
      </c>
      <c r="CN317" s="80">
        <f>IF($BH317="",1,COUNTIF($BH$3:$BH317,$BH317))</f>
        <v>1</v>
      </c>
      <c r="CP317" t="str">
        <f>IF($K317="Standard Match","Match",IF($K317="Name Only Match",IF($CO317="Yes","Match","Name Only Match"),"No Match"))</f>
        <v>Match</v>
      </c>
      <c r="CQ317" s="35" t="str">
        <f>IF(AND(CP317="Match",CK317&gt;0,CL317&gt;0),"Y","N")</f>
        <v>Y</v>
      </c>
      <c r="CS317" t="str">
        <f>IF($CQ317="Y",VLOOKUP($CM317,'SBA Size Standards'!$B$3:$G$57,MATCH('SBA Size Standards'!$G$3,'SBA Size Standards'!$B$3:$G$3,0),FALSE),"")</f>
        <v>Revenue</v>
      </c>
      <c r="CT317" s="60">
        <f>IF(CQ317="Y",IF($CS317="Employment","N/A",VLOOKUP($CM317,'SBA Size Standards'!$B$3:$G$57,MATCH('SBA Size Standards'!$E$3,'SBA Size Standards'!$B$3:$G$3,0),FALSE)),"")</f>
        <v>41500000</v>
      </c>
      <c r="CU317" s="86" t="str">
        <f>IF($CQ317="Y",IF($CS317="Revenue","N/A",VLOOKUP($CM317,'SBA Size Standards'!$B$3:$G$57,MATCH('SBA Size Standards'!$F$3,'SBA Size Standards'!$B$3:$G$3,0),FALSE)),"")</f>
        <v>N/A</v>
      </c>
      <c r="CV317" t="str">
        <f>IF($CQ317="Y",IF(OR(AND($CS317="Employment",$CL317&lt;$CU317),AND($CS317="Revenue",$CK317&lt;$CT317)),"YES","NO"),"")</f>
        <v>YES</v>
      </c>
      <c r="CW317" s="90" t="str">
        <f>IF($CQ317="Y",INDEX('SBA Size Standards'!$N$3:$N$12,MATCH($CK317,'SBA Size Standards'!$O$3:$O$12,1)),"")</f>
        <v>$100,001 - $500,000</v>
      </c>
      <c r="CX317" s="122" t="s">
        <v>4588</v>
      </c>
      <c r="CY317" s="122">
        <f>INDEX('NM O&amp;G Production'!$P$3:$P$537,MATCH(CX317,'NM O&amp;G Production'!$Q$3:$Q$537,0))</f>
        <v>126</v>
      </c>
      <c r="CZ317" s="122" t="str">
        <f>INDEX('NM O&amp;G Production'!$O$3:$O$537,MATCH(CY317,'NM O&amp;G Production'!$P$3:$P$537,0))</f>
        <v>Yes</v>
      </c>
      <c r="DA317" s="127">
        <f>INDEX('NM O&amp;G Production'!$K$3:$O$537,MATCH($CY317,'NM O&amp;G Production'!$P$3:$P$537,0),MATCH(DA$2,'NM O&amp;G Production'!$K$2:$O$2,0))</f>
        <v>0</v>
      </c>
      <c r="DB317" s="127">
        <f>INDEX('NM O&amp;G Production'!$K$3:$O$537,MATCH($CY317,'NM O&amp;G Production'!$P$3:$P$537,0),MATCH(DB$2,'NM O&amp;G Production'!$K$2:$O$2,0))</f>
        <v>12</v>
      </c>
      <c r="DC317" s="127">
        <f>DA317+DB317</f>
        <v>12</v>
      </c>
      <c r="DD317" s="127">
        <f>INDEX('NM O&amp;G Production'!$K$3:$O$537,MATCH($CY317,'NM O&amp;G Production'!$P$3:$P$537,0),MATCH(DD$2,'NM O&amp;G Production'!$K$2:$O$2,0))</f>
        <v>0</v>
      </c>
      <c r="DE317" s="127">
        <f>INDEX('NM O&amp;G Production'!$K$3:$O$537,MATCH($CY317,'NM O&amp;G Production'!$P$3:$P$537,0),MATCH(DE$2,'NM O&amp;G Production'!$K$2:$O$2,0))</f>
        <v>1822</v>
      </c>
      <c r="DF317" s="258">
        <f>CK317/(DB317+DA317)</f>
        <v>27722.25</v>
      </c>
      <c r="DG317" s="57">
        <f>DD317*(12/18)*1.06*'Oil and Gas Prices'!$C$18</f>
        <v>0</v>
      </c>
      <c r="DH317" s="284">
        <f>DE317*(12/18)*'Oil and Gas Prices'!$C$4</f>
        <v>54659.999999999993</v>
      </c>
      <c r="DI317" s="284">
        <f>DG317+DH317</f>
        <v>54659.999999999993</v>
      </c>
      <c r="DJ317" s="57">
        <f>(DG317+DH317)/(DA317+DB317)</f>
        <v>4554.9999999999991</v>
      </c>
      <c r="DK317" s="318"/>
    </row>
    <row r="318" spans="1:115" x14ac:dyDescent="0.25">
      <c r="A318" t="s">
        <v>2768</v>
      </c>
      <c r="B318" t="s">
        <v>2769</v>
      </c>
      <c r="D318" t="s">
        <v>1257</v>
      </c>
      <c r="E318" t="s">
        <v>80</v>
      </c>
      <c r="F318">
        <v>75701</v>
      </c>
      <c r="G318" t="s">
        <v>62</v>
      </c>
      <c r="I318">
        <v>401</v>
      </c>
      <c r="J318" t="s">
        <v>63</v>
      </c>
      <c r="K318" t="s">
        <v>4133</v>
      </c>
      <c r="L318" t="s">
        <v>64</v>
      </c>
      <c r="M318">
        <v>10</v>
      </c>
      <c r="N318" t="s">
        <v>2770</v>
      </c>
      <c r="O318" t="s">
        <v>2771</v>
      </c>
      <c r="Q318" t="s">
        <v>2772</v>
      </c>
      <c r="R318" t="s">
        <v>1257</v>
      </c>
      <c r="S318" t="s">
        <v>94</v>
      </c>
      <c r="T318" t="s">
        <v>2773</v>
      </c>
      <c r="U318" t="s">
        <v>62</v>
      </c>
      <c r="V318">
        <v>9035099119</v>
      </c>
      <c r="W318" s="1">
        <v>326953</v>
      </c>
      <c r="X318">
        <v>4</v>
      </c>
      <c r="Y318">
        <v>4</v>
      </c>
      <c r="Z318">
        <v>2004</v>
      </c>
      <c r="AA318" t="s">
        <v>70</v>
      </c>
      <c r="AB318" t="s">
        <v>2774</v>
      </c>
      <c r="AC318" t="s">
        <v>231</v>
      </c>
      <c r="AD318" t="s">
        <v>99</v>
      </c>
      <c r="AE318">
        <v>1311</v>
      </c>
      <c r="AF318" t="s">
        <v>100</v>
      </c>
      <c r="AI318">
        <v>13110000</v>
      </c>
      <c r="AJ318" t="s">
        <v>276</v>
      </c>
      <c r="AM318">
        <v>211120</v>
      </c>
      <c r="AN318" t="s">
        <v>104</v>
      </c>
      <c r="AQ318" t="s">
        <v>75</v>
      </c>
      <c r="AT318" t="s">
        <v>76</v>
      </c>
      <c r="BF318">
        <v>0</v>
      </c>
      <c r="BG318">
        <v>0</v>
      </c>
      <c r="CK318" s="19">
        <f>IF(BQ318&gt;0,BQ318,W318)</f>
        <v>326953</v>
      </c>
      <c r="CL318" s="20">
        <f>IF(BS318&gt;0,BS318,Y318)</f>
        <v>4</v>
      </c>
      <c r="CM318" s="34">
        <f>IF(CG318&gt;0,CG318,AM318)</f>
        <v>211120</v>
      </c>
      <c r="CN318" s="80">
        <f>IF($BH318="",1,COUNTIF($BH$3:$BH318,$BH318))</f>
        <v>1</v>
      </c>
      <c r="CP318" t="str">
        <f>IF($K318="Standard Match","Match",IF($K318="Name Only Match",IF($CO318="Yes","Match","Name Only Match"),"No Match"))</f>
        <v>Match</v>
      </c>
      <c r="CQ318" s="35" t="str">
        <f>IF(AND(CP318="Match",CK318&gt;0,CL318&gt;0),"Y","N")</f>
        <v>Y</v>
      </c>
      <c r="CS318" t="str">
        <f>IF($CQ318="Y",VLOOKUP($CM318,'SBA Size Standards'!$B$3:$G$57,MATCH('SBA Size Standards'!$G$3,'SBA Size Standards'!$B$3:$G$3,0),FALSE),"")</f>
        <v>Employment</v>
      </c>
      <c r="CT318" s="60" t="str">
        <f>IF(CQ318="Y",IF($CS318="Employment","N/A",VLOOKUP($CM318,'SBA Size Standards'!$B$3:$G$57,MATCH('SBA Size Standards'!$E$3,'SBA Size Standards'!$B$3:$G$3,0),FALSE)),"")</f>
        <v>N/A</v>
      </c>
      <c r="CU318" s="86">
        <f>IF($CQ318="Y",IF($CS318="Revenue","N/A",VLOOKUP($CM318,'SBA Size Standards'!$B$3:$G$57,MATCH('SBA Size Standards'!$F$3,'SBA Size Standards'!$B$3:$G$3,0),FALSE)),"")</f>
        <v>1250</v>
      </c>
      <c r="CV318" t="str">
        <f>IF($CQ318="Y",IF(OR(AND($CS318="Employment",$CL318&lt;$CU318),AND($CS318="Revenue",$CK318&lt;$CT318)),"YES","NO"),"")</f>
        <v>YES</v>
      </c>
      <c r="CW318" s="90" t="str">
        <f>IF($CQ318="Y",INDEX('SBA Size Standards'!$N$3:$N$12,MATCH($CK318,'SBA Size Standards'!$O$3:$O$12,1)),"")</f>
        <v>$100,001 - $500,000</v>
      </c>
      <c r="CX318" s="122" t="s">
        <v>4726</v>
      </c>
      <c r="CY318" s="122">
        <f>INDEX('NM O&amp;G Production'!$P$3:$P$537,MATCH(CX318,'NM O&amp;G Production'!$Q$3:$Q$537,0))</f>
        <v>401</v>
      </c>
      <c r="CZ318" s="122" t="str">
        <f>INDEX('NM O&amp;G Production'!$O$3:$O$537,MATCH(CY318,'NM O&amp;G Production'!$P$3:$P$537,0))</f>
        <v>Yes</v>
      </c>
      <c r="DA318" s="127">
        <f>INDEX('NM O&amp;G Production'!$K$3:$O$537,MATCH($CY318,'NM O&amp;G Production'!$P$3:$P$537,0),MATCH(DA$2,'NM O&amp;G Production'!$K$2:$O$2,0))</f>
        <v>0</v>
      </c>
      <c r="DB318" s="127">
        <f>INDEX('NM O&amp;G Production'!$K$3:$O$537,MATCH($CY318,'NM O&amp;G Production'!$P$3:$P$537,0),MATCH(DB$2,'NM O&amp;G Production'!$K$2:$O$2,0))</f>
        <v>1</v>
      </c>
      <c r="DC318" s="127">
        <f>DA318+DB318</f>
        <v>1</v>
      </c>
      <c r="DD318" s="127">
        <f>INDEX('NM O&amp;G Production'!$K$3:$O$537,MATCH($CY318,'NM O&amp;G Production'!$P$3:$P$537,0),MATCH(DD$2,'NM O&amp;G Production'!$K$2:$O$2,0))</f>
        <v>2545</v>
      </c>
      <c r="DE318" s="127">
        <f>INDEX('NM O&amp;G Production'!$K$3:$O$537,MATCH($CY318,'NM O&amp;G Production'!$P$3:$P$537,0),MATCH(DE$2,'NM O&amp;G Production'!$K$2:$O$2,0))</f>
        <v>3351</v>
      </c>
      <c r="DF318" s="258">
        <f>CK318/(DB318+DA318)</f>
        <v>326953</v>
      </c>
      <c r="DG318" s="57">
        <f>DD318*(12/18)*1.06*'Oil and Gas Prices'!$C$18</f>
        <v>4298.3353333333334</v>
      </c>
      <c r="DH318" s="284">
        <f>DE318*(12/18)*'Oil and Gas Prices'!$C$4</f>
        <v>100530</v>
      </c>
      <c r="DI318" s="284">
        <f>DG318+DH318</f>
        <v>104828.33533333334</v>
      </c>
      <c r="DJ318" s="57">
        <f>(DG318+DH318)/(DA318+DB318)</f>
        <v>104828.33533333334</v>
      </c>
      <c r="DK318" s="319"/>
    </row>
    <row r="319" spans="1:115" x14ac:dyDescent="0.25">
      <c r="A319" t="s">
        <v>2978</v>
      </c>
      <c r="B319" t="s">
        <v>2979</v>
      </c>
      <c r="D319" t="s">
        <v>153</v>
      </c>
      <c r="E319" t="s">
        <v>80</v>
      </c>
      <c r="F319" t="s">
        <v>2980</v>
      </c>
      <c r="G319" t="s">
        <v>62</v>
      </c>
      <c r="I319">
        <v>434</v>
      </c>
      <c r="J319" t="s">
        <v>63</v>
      </c>
      <c r="K319" t="s">
        <v>4133</v>
      </c>
      <c r="L319" t="s">
        <v>64</v>
      </c>
      <c r="M319">
        <v>10</v>
      </c>
      <c r="N319" t="s">
        <v>2981</v>
      </c>
      <c r="O319" t="s">
        <v>2982</v>
      </c>
      <c r="Q319" t="s">
        <v>2983</v>
      </c>
      <c r="R319" t="s">
        <v>153</v>
      </c>
      <c r="S319" t="s">
        <v>94</v>
      </c>
      <c r="T319" t="s">
        <v>2980</v>
      </c>
      <c r="U319" t="s">
        <v>62</v>
      </c>
      <c r="V319">
        <v>4326868846</v>
      </c>
      <c r="W319" s="1">
        <v>317994</v>
      </c>
      <c r="X319">
        <v>2</v>
      </c>
      <c r="Y319">
        <v>2</v>
      </c>
      <c r="Z319">
        <v>1988</v>
      </c>
      <c r="AA319" t="s">
        <v>70</v>
      </c>
      <c r="AB319" t="s">
        <v>2984</v>
      </c>
      <c r="AC319" t="s">
        <v>98</v>
      </c>
      <c r="AD319" t="s">
        <v>99</v>
      </c>
      <c r="AE319">
        <v>1311</v>
      </c>
      <c r="AF319" t="s">
        <v>100</v>
      </c>
      <c r="AI319">
        <v>13110101</v>
      </c>
      <c r="AJ319" t="s">
        <v>102</v>
      </c>
      <c r="AM319">
        <v>211120</v>
      </c>
      <c r="AN319" t="s">
        <v>104</v>
      </c>
      <c r="AQ319" t="s">
        <v>75</v>
      </c>
      <c r="AT319" t="s">
        <v>76</v>
      </c>
      <c r="BF319">
        <v>0</v>
      </c>
      <c r="BG319">
        <v>0</v>
      </c>
      <c r="CK319" s="19">
        <f>IF(BQ319&gt;0,BQ319,W319)</f>
        <v>317994</v>
      </c>
      <c r="CL319" s="20">
        <f>IF(BS319&gt;0,BS319,Y319)</f>
        <v>2</v>
      </c>
      <c r="CM319" s="34">
        <f>IF(CG319&gt;0,CG319,AM319)</f>
        <v>211120</v>
      </c>
      <c r="CN319" s="80">
        <f>IF($BH319="",1,COUNTIF($BH$3:$BH319,$BH319))</f>
        <v>1</v>
      </c>
      <c r="CP319" t="str">
        <f>IF($K319="Standard Match","Match",IF($K319="Name Only Match",IF($CO319="Yes","Match","Name Only Match"),"No Match"))</f>
        <v>Match</v>
      </c>
      <c r="CQ319" s="35" t="str">
        <f>IF(AND(CP319="Match",CK319&gt;0,CL319&gt;0),"Y","N")</f>
        <v>Y</v>
      </c>
      <c r="CS319" t="str">
        <f>IF($CQ319="Y",VLOOKUP($CM319,'SBA Size Standards'!$B$3:$G$57,MATCH('SBA Size Standards'!$G$3,'SBA Size Standards'!$B$3:$G$3,0),FALSE),"")</f>
        <v>Employment</v>
      </c>
      <c r="CT319" s="60" t="str">
        <f>IF(CQ319="Y",IF($CS319="Employment","N/A",VLOOKUP($CM319,'SBA Size Standards'!$B$3:$G$57,MATCH('SBA Size Standards'!$E$3,'SBA Size Standards'!$B$3:$G$3,0),FALSE)),"")</f>
        <v>N/A</v>
      </c>
      <c r="CU319" s="86">
        <f>IF($CQ319="Y",IF($CS319="Revenue","N/A",VLOOKUP($CM319,'SBA Size Standards'!$B$3:$G$57,MATCH('SBA Size Standards'!$F$3,'SBA Size Standards'!$B$3:$G$3,0),FALSE)),"")</f>
        <v>1250</v>
      </c>
      <c r="CV319" t="str">
        <f>IF($CQ319="Y",IF(OR(AND($CS319="Employment",$CL319&lt;$CU319),AND($CS319="Revenue",$CK319&lt;$CT319)),"YES","NO"),"")</f>
        <v>YES</v>
      </c>
      <c r="CW319" s="90" t="str">
        <f>IF($CQ319="Y",INDEX('SBA Size Standards'!$N$3:$N$12,MATCH($CK319,'SBA Size Standards'!$O$3:$O$12,1)),"")</f>
        <v>$100,001 - $500,000</v>
      </c>
      <c r="CX319" s="122" t="s">
        <v>4742</v>
      </c>
      <c r="CY319" s="122">
        <f>INDEX('NM O&amp;G Production'!$P$3:$P$537,MATCH(CX319,'NM O&amp;G Production'!$Q$3:$Q$537,0))</f>
        <v>434</v>
      </c>
      <c r="CZ319" s="122" t="str">
        <f>INDEX('NM O&amp;G Production'!$O$3:$O$537,MATCH(CY319,'NM O&amp;G Production'!$P$3:$P$537,0))</f>
        <v>Yes</v>
      </c>
      <c r="DA319" s="127">
        <f>INDEX('NM O&amp;G Production'!$K$3:$O$537,MATCH($CY319,'NM O&amp;G Production'!$P$3:$P$537,0),MATCH(DA$2,'NM O&amp;G Production'!$K$2:$O$2,0))</f>
        <v>0</v>
      </c>
      <c r="DB319" s="127">
        <f>INDEX('NM O&amp;G Production'!$K$3:$O$537,MATCH($CY319,'NM O&amp;G Production'!$P$3:$P$537,0),MATCH(DB$2,'NM O&amp;G Production'!$K$2:$O$2,0))</f>
        <v>1</v>
      </c>
      <c r="DC319" s="127">
        <f>DA319+DB319</f>
        <v>1</v>
      </c>
      <c r="DD319" s="127">
        <f>INDEX('NM O&amp;G Production'!$K$3:$O$537,MATCH($CY319,'NM O&amp;G Production'!$P$3:$P$537,0),MATCH(DD$2,'NM O&amp;G Production'!$K$2:$O$2,0))</f>
        <v>17</v>
      </c>
      <c r="DE319" s="127">
        <f>INDEX('NM O&amp;G Production'!$K$3:$O$537,MATCH($CY319,'NM O&amp;G Production'!$P$3:$P$537,0),MATCH(DE$2,'NM O&amp;G Production'!$K$2:$O$2,0))</f>
        <v>1469</v>
      </c>
      <c r="DF319" s="258">
        <f>CK319/(DB319+DA319)</f>
        <v>317994</v>
      </c>
      <c r="DG319" s="57">
        <f>DD319*(12/18)*1.06*'Oil and Gas Prices'!$C$18</f>
        <v>28.711866666666666</v>
      </c>
      <c r="DH319" s="284">
        <f>DE319*(12/18)*'Oil and Gas Prices'!$C$4</f>
        <v>44070</v>
      </c>
      <c r="DI319" s="284">
        <f>DG319+DH319</f>
        <v>44098.711866666665</v>
      </c>
      <c r="DJ319" s="57">
        <f>(DG319+DH319)/(DA319+DB319)</f>
        <v>44098.711866666665</v>
      </c>
      <c r="DK319" s="319"/>
    </row>
    <row r="320" spans="1:115" x14ac:dyDescent="0.25">
      <c r="A320" s="21" t="s">
        <v>2844</v>
      </c>
      <c r="B320" s="21" t="s">
        <v>2845</v>
      </c>
      <c r="C320" s="21"/>
      <c r="D320" s="21" t="s">
        <v>2846</v>
      </c>
      <c r="E320" s="21" t="s">
        <v>84</v>
      </c>
      <c r="F320">
        <v>88030</v>
      </c>
      <c r="G320" t="s">
        <v>62</v>
      </c>
      <c r="I320">
        <v>413</v>
      </c>
      <c r="J320" t="s">
        <v>63</v>
      </c>
      <c r="K320" t="s">
        <v>4134</v>
      </c>
      <c r="L320" t="s">
        <v>3627</v>
      </c>
      <c r="M320">
        <v>8</v>
      </c>
      <c r="N320" t="s">
        <v>3969</v>
      </c>
      <c r="O320" s="21" t="s">
        <v>3970</v>
      </c>
      <c r="P320" s="21"/>
      <c r="Q320" s="21" t="s">
        <v>3971</v>
      </c>
      <c r="R320" s="21" t="s">
        <v>2656</v>
      </c>
      <c r="S320" s="21" t="s">
        <v>214</v>
      </c>
      <c r="T320">
        <v>87046</v>
      </c>
      <c r="U320" t="s">
        <v>62</v>
      </c>
      <c r="V320">
        <v>5756389137</v>
      </c>
      <c r="W320" s="23">
        <v>310000</v>
      </c>
      <c r="X320" s="21">
        <v>3</v>
      </c>
      <c r="Y320" s="21">
        <v>3</v>
      </c>
      <c r="Z320">
        <v>2005</v>
      </c>
      <c r="AA320" s="21" t="s">
        <v>70</v>
      </c>
      <c r="AB320" t="s">
        <v>3972</v>
      </c>
      <c r="AC320" t="s">
        <v>98</v>
      </c>
      <c r="AD320" s="21" t="s">
        <v>825</v>
      </c>
      <c r="AE320">
        <v>5172</v>
      </c>
      <c r="AF320" t="s">
        <v>826</v>
      </c>
      <c r="AI320">
        <v>51729901</v>
      </c>
      <c r="AJ320" t="s">
        <v>924</v>
      </c>
      <c r="AM320" s="21">
        <v>424720</v>
      </c>
      <c r="AN320" s="21" t="s">
        <v>827</v>
      </c>
      <c r="AO320" s="21"/>
      <c r="AP320" s="21"/>
      <c r="AQ320" s="21" t="s">
        <v>75</v>
      </c>
      <c r="AT320" t="s">
        <v>76</v>
      </c>
      <c r="BF320">
        <v>0</v>
      </c>
      <c r="BG320" s="24">
        <v>0</v>
      </c>
      <c r="BH320" s="24"/>
      <c r="BI320" s="24"/>
      <c r="BJ320" s="24"/>
      <c r="BK320" s="24"/>
      <c r="BL320" s="24"/>
      <c r="BM320" s="24"/>
      <c r="BN320" s="24"/>
      <c r="BO320" s="24"/>
      <c r="BQ320" s="24"/>
      <c r="BR320" s="24"/>
      <c r="BS320" s="24"/>
      <c r="BU320" s="24"/>
      <c r="BX320" s="24"/>
      <c r="CG320" s="24"/>
      <c r="CH320" s="24"/>
      <c r="CI320" s="24"/>
      <c r="CJ320" s="24"/>
      <c r="CK320" s="19">
        <f>IF(BQ320&gt;0,BQ320,W320)</f>
        <v>310000</v>
      </c>
      <c r="CL320" s="20">
        <f>IF(BS320&gt;0,BS320,Y320)</f>
        <v>3</v>
      </c>
      <c r="CM320" s="34">
        <f>IF(CG320&gt;0,CG320,AM320)</f>
        <v>424720</v>
      </c>
      <c r="CN320" s="80">
        <f>IF($BH320="",1,COUNTIF($BH$3:$BH320,$BH320))</f>
        <v>1</v>
      </c>
      <c r="CO320" s="33" t="s">
        <v>4386</v>
      </c>
      <c r="CP320" t="str">
        <f>IF($K320="Standard Match","Match",IF($K320="Name Only Match",IF($CO320="Yes","Match","Name Only Match"),"No Match"))</f>
        <v>Match</v>
      </c>
      <c r="CQ320" s="35" t="str">
        <f>IF(AND(CP320="Match",CK320&gt;0,CL320&gt;0),"Y","N")</f>
        <v>Y</v>
      </c>
      <c r="CR320" s="21"/>
      <c r="CS320" t="str">
        <f>IF($CQ320="Y",VLOOKUP($CM320,'SBA Size Standards'!$B$3:$G$57,MATCH('SBA Size Standards'!$G$3,'SBA Size Standards'!$B$3:$G$3,0),FALSE),"")</f>
        <v>Employment</v>
      </c>
      <c r="CT320" s="60" t="str">
        <f>IF(CQ320="Y",IF($CS320="Employment","N/A",VLOOKUP($CM320,'SBA Size Standards'!$B$3:$G$57,MATCH('SBA Size Standards'!$E$3,'SBA Size Standards'!$B$3:$G$3,0),FALSE)),"")</f>
        <v>N/A</v>
      </c>
      <c r="CU320" s="86">
        <f>IF($CQ320="Y",IF($CS320="Revenue","N/A",VLOOKUP($CM320,'SBA Size Standards'!$B$3:$G$57,MATCH('SBA Size Standards'!$F$3,'SBA Size Standards'!$B$3:$G$3,0),FALSE)),"")</f>
        <v>200</v>
      </c>
      <c r="CV320" t="str">
        <f>IF($CQ320="Y",IF(OR(AND($CS320="Employment",$CL320&lt;$CU320),AND($CS320="Revenue",$CK320&lt;$CT320)),"YES","NO"),"")</f>
        <v>YES</v>
      </c>
      <c r="CW320" s="90" t="str">
        <f>IF($CQ320="Y",INDEX('SBA Size Standards'!$N$3:$N$12,MATCH($CK320,'SBA Size Standards'!$O$3:$O$12,1)),"")</f>
        <v>$100,001 - $500,000</v>
      </c>
      <c r="CX320" s="122" t="s">
        <v>4993</v>
      </c>
      <c r="CY320" s="122">
        <f>INDEX('NM O&amp;G Production'!$P$3:$P$537,MATCH(CX320,'NM O&amp;G Production'!$Q$3:$Q$537,0))</f>
        <v>413</v>
      </c>
      <c r="CZ320" s="122" t="str">
        <f>INDEX('NM O&amp;G Production'!$O$3:$O$537,MATCH(CY320,'NM O&amp;G Production'!$P$3:$P$537,0))</f>
        <v>Yes</v>
      </c>
      <c r="DA320" s="127">
        <f>INDEX('NM O&amp;G Production'!$K$3:$O$537,MATCH($CY320,'NM O&amp;G Production'!$P$3:$P$537,0),MATCH(DA$2,'NM O&amp;G Production'!$K$2:$O$2,0))</f>
        <v>0</v>
      </c>
      <c r="DB320" s="127">
        <f>INDEX('NM O&amp;G Production'!$K$3:$O$537,MATCH($CY320,'NM O&amp;G Production'!$P$3:$P$537,0),MATCH(DB$2,'NM O&amp;G Production'!$K$2:$O$2,0))</f>
        <v>9</v>
      </c>
      <c r="DC320" s="127">
        <f>DA320+DB320</f>
        <v>9</v>
      </c>
      <c r="DD320" s="127">
        <f>INDEX('NM O&amp;G Production'!$K$3:$O$537,MATCH($CY320,'NM O&amp;G Production'!$P$3:$P$537,0),MATCH(DD$2,'NM O&amp;G Production'!$K$2:$O$2,0))</f>
        <v>0</v>
      </c>
      <c r="DE320" s="127">
        <f>INDEX('NM O&amp;G Production'!$K$3:$O$537,MATCH($CY320,'NM O&amp;G Production'!$P$3:$P$537,0),MATCH(DE$2,'NM O&amp;G Production'!$K$2:$O$2,0))</f>
        <v>796</v>
      </c>
      <c r="DF320" s="258">
        <f>CK320/(DB320+DA320)</f>
        <v>34444.444444444445</v>
      </c>
      <c r="DG320" s="57">
        <f>DD320*(12/18)*1.06*'Oil and Gas Prices'!$C$18</f>
        <v>0</v>
      </c>
      <c r="DH320" s="284">
        <f>DE320*(12/18)*'Oil and Gas Prices'!$C$4</f>
        <v>23880</v>
      </c>
      <c r="DI320" s="284">
        <f>DG320+DH320</f>
        <v>23880</v>
      </c>
      <c r="DJ320" s="57">
        <f>(DG320+DH320)/(DA320+DB320)</f>
        <v>2653.3333333333335</v>
      </c>
      <c r="DK320" s="318"/>
    </row>
    <row r="321" spans="1:115" x14ac:dyDescent="0.25">
      <c r="A321" s="21" t="s">
        <v>338</v>
      </c>
      <c r="B321" s="21" t="s">
        <v>339</v>
      </c>
      <c r="C321" s="21"/>
      <c r="D321" s="21" t="s">
        <v>60</v>
      </c>
      <c r="E321" s="21" t="s">
        <v>61</v>
      </c>
      <c r="F321">
        <v>80222</v>
      </c>
      <c r="G321" t="s">
        <v>62</v>
      </c>
      <c r="I321">
        <v>36</v>
      </c>
      <c r="J321" t="s">
        <v>63</v>
      </c>
      <c r="K321" t="s">
        <v>4134</v>
      </c>
      <c r="L321" t="s">
        <v>3627</v>
      </c>
      <c r="M321">
        <v>8</v>
      </c>
      <c r="N321" t="s">
        <v>3630</v>
      </c>
      <c r="O321" s="21" t="s">
        <v>3631</v>
      </c>
      <c r="P321" s="21"/>
      <c r="Q321" s="21" t="s">
        <v>3632</v>
      </c>
      <c r="R321" s="21" t="s">
        <v>344</v>
      </c>
      <c r="S321" s="21" t="s">
        <v>94</v>
      </c>
      <c r="T321" t="s">
        <v>3633</v>
      </c>
      <c r="U321" t="s">
        <v>62</v>
      </c>
      <c r="V321">
        <v>4325232008</v>
      </c>
      <c r="W321" s="23">
        <v>302993</v>
      </c>
      <c r="X321" s="21">
        <v>4</v>
      </c>
      <c r="Y321" s="21">
        <v>4</v>
      </c>
      <c r="Z321">
        <v>2015</v>
      </c>
      <c r="AA321" s="21" t="s">
        <v>70</v>
      </c>
      <c r="AD321" s="21" t="s">
        <v>71</v>
      </c>
      <c r="AE321">
        <v>1389</v>
      </c>
      <c r="AF321" t="s">
        <v>72</v>
      </c>
      <c r="AI321">
        <v>13899912</v>
      </c>
      <c r="AJ321" t="s">
        <v>426</v>
      </c>
      <c r="AM321" s="21">
        <v>213112</v>
      </c>
      <c r="AN321" s="21" t="s">
        <v>74</v>
      </c>
      <c r="AO321" s="21"/>
      <c r="AP321" s="21"/>
      <c r="AQ321" s="21" t="s">
        <v>75</v>
      </c>
      <c r="AT321" t="s">
        <v>76</v>
      </c>
      <c r="BF321">
        <v>0</v>
      </c>
      <c r="BG321" s="24">
        <v>0</v>
      </c>
      <c r="BH321" s="24"/>
      <c r="BI321" s="24"/>
      <c r="BJ321" s="24"/>
      <c r="BK321" s="24"/>
      <c r="BL321" s="24"/>
      <c r="BM321" s="24"/>
      <c r="BN321" s="24"/>
      <c r="BO321" s="24"/>
      <c r="BQ321" s="24"/>
      <c r="BR321" s="24"/>
      <c r="BS321" s="24"/>
      <c r="BU321" s="24"/>
      <c r="BX321" s="24"/>
      <c r="CG321" s="24"/>
      <c r="CH321" s="24"/>
      <c r="CI321" s="24"/>
      <c r="CJ321" s="24"/>
      <c r="CK321" s="19">
        <f>IF(BQ321&gt;0,BQ321,W321)</f>
        <v>302993</v>
      </c>
      <c r="CL321" s="20">
        <f>IF(BS321&gt;0,BS321,Y321)</f>
        <v>4</v>
      </c>
      <c r="CM321" s="34">
        <f>IF(CG321&gt;0,CG321,AM321)</f>
        <v>213112</v>
      </c>
      <c r="CN321" s="80">
        <f>IF($BH321="",1,COUNTIF($BH$3:$BH321,$BH321))</f>
        <v>1</v>
      </c>
      <c r="CO321" s="33" t="s">
        <v>4386</v>
      </c>
      <c r="CP321" t="str">
        <f>IF($K321="Standard Match","Match",IF($K321="Name Only Match",IF($CO321="Yes","Match","Name Only Match"),"No Match"))</f>
        <v>Match</v>
      </c>
      <c r="CQ321" s="35" t="str">
        <f>IF(AND(CP321="Match",CK321&gt;0,CL321&gt;0),"Y","N")</f>
        <v>Y</v>
      </c>
      <c r="CR321" s="21"/>
      <c r="CS321" t="str">
        <f>IF($CQ321="Y",VLOOKUP($CM321,'SBA Size Standards'!$B$3:$G$57,MATCH('SBA Size Standards'!$G$3,'SBA Size Standards'!$B$3:$G$3,0),FALSE),"")</f>
        <v>Revenue</v>
      </c>
      <c r="CT321" s="60">
        <f>IF(CQ321="Y",IF($CS321="Employment","N/A",VLOOKUP($CM321,'SBA Size Standards'!$B$3:$G$57,MATCH('SBA Size Standards'!$E$3,'SBA Size Standards'!$B$3:$G$3,0),FALSE)),"")</f>
        <v>41500000</v>
      </c>
      <c r="CU321" s="86" t="str">
        <f>IF($CQ321="Y",IF($CS321="Revenue","N/A",VLOOKUP($CM321,'SBA Size Standards'!$B$3:$G$57,MATCH('SBA Size Standards'!$F$3,'SBA Size Standards'!$B$3:$G$3,0),FALSE)),"")</f>
        <v>N/A</v>
      </c>
      <c r="CV321" t="str">
        <f>IF($CQ321="Y",IF(OR(AND($CS321="Employment",$CL321&lt;$CU321),AND($CS321="Revenue",$CK321&lt;$CT321)),"YES","NO"),"")</f>
        <v>YES</v>
      </c>
      <c r="CW321" s="90" t="str">
        <f>IF($CQ321="Y",INDEX('SBA Size Standards'!$N$3:$N$12,MATCH($CK321,'SBA Size Standards'!$O$3:$O$12,1)),"")</f>
        <v>$100,001 - $500,000</v>
      </c>
      <c r="CX321" s="122" t="s">
        <v>4935</v>
      </c>
      <c r="CY321" s="122">
        <f>INDEX('NM O&amp;G Production'!$P$3:$P$537,MATCH(CX321,'NM O&amp;G Production'!$Q$3:$Q$537,0))</f>
        <v>36</v>
      </c>
      <c r="CZ321" s="122" t="str">
        <f>INDEX('NM O&amp;G Production'!$O$3:$O$537,MATCH(CY321,'NM O&amp;G Production'!$P$3:$P$537,0))</f>
        <v>No</v>
      </c>
      <c r="DA321" s="127">
        <f>INDEX('NM O&amp;G Production'!$K$3:$O$537,MATCH($CY321,'NM O&amp;G Production'!$P$3:$P$537,0),MATCH(DA$2,'NM O&amp;G Production'!$K$2:$O$2,0))</f>
        <v>0</v>
      </c>
      <c r="DB321" s="127">
        <f>INDEX('NM O&amp;G Production'!$K$3:$O$537,MATCH($CY321,'NM O&amp;G Production'!$P$3:$P$537,0),MATCH(DB$2,'NM O&amp;G Production'!$K$2:$O$2,0))</f>
        <v>0</v>
      </c>
      <c r="DC321" s="127"/>
      <c r="DD321" s="127">
        <f>INDEX('NM O&amp;G Production'!$K$3:$O$537,MATCH($CY321,'NM O&amp;G Production'!$P$3:$P$537,0),MATCH(DD$2,'NM O&amp;G Production'!$K$2:$O$2,0))</f>
        <v>0</v>
      </c>
      <c r="DE321" s="127">
        <f>INDEX('NM O&amp;G Production'!$K$3:$O$537,MATCH($CY321,'NM O&amp;G Production'!$P$3:$P$537,0),MATCH(DE$2,'NM O&amp;G Production'!$K$2:$O$2,0))</f>
        <v>0</v>
      </c>
      <c r="DF321" s="258" t="e">
        <f>CK321/(DB321+DA321)</f>
        <v>#DIV/0!</v>
      </c>
      <c r="DG321" s="57">
        <f>DD321*(12/18)*1.06*'Oil and Gas Prices'!$C$18</f>
        <v>0</v>
      </c>
      <c r="DH321" s="284">
        <f>DE321*(12/18)*'Oil and Gas Prices'!$C$4</f>
        <v>0</v>
      </c>
      <c r="DI321" s="284"/>
      <c r="DJ321" s="57" t="e">
        <f>(DG321+DH321)/(DA321+DB321)</f>
        <v>#DIV/0!</v>
      </c>
      <c r="DK321" s="18" t="e">
        <f>CK321/DI321</f>
        <v>#DIV/0!</v>
      </c>
    </row>
    <row r="322" spans="1:115" x14ac:dyDescent="0.25">
      <c r="A322" t="s">
        <v>1520</v>
      </c>
      <c r="B322" t="s">
        <v>1521</v>
      </c>
      <c r="D322" t="s">
        <v>123</v>
      </c>
      <c r="E322" t="s">
        <v>84</v>
      </c>
      <c r="F322">
        <v>87499</v>
      </c>
      <c r="G322" t="s">
        <v>62</v>
      </c>
      <c r="I322">
        <v>207</v>
      </c>
      <c r="J322" t="s">
        <v>89</v>
      </c>
      <c r="K322" t="s">
        <v>4133</v>
      </c>
      <c r="L322" t="s">
        <v>149</v>
      </c>
      <c r="M322">
        <v>10</v>
      </c>
      <c r="N322" t="s">
        <v>1522</v>
      </c>
      <c r="O322" t="s">
        <v>1523</v>
      </c>
      <c r="Q322" t="s">
        <v>1524</v>
      </c>
      <c r="R322" t="s">
        <v>123</v>
      </c>
      <c r="S322" t="s">
        <v>214</v>
      </c>
      <c r="T322" t="s">
        <v>1525</v>
      </c>
      <c r="U322" t="s">
        <v>62</v>
      </c>
      <c r="V322">
        <v>5053260550</v>
      </c>
      <c r="W322" s="1">
        <v>300000</v>
      </c>
      <c r="X322">
        <v>2</v>
      </c>
      <c r="Y322">
        <v>2</v>
      </c>
      <c r="Z322">
        <v>1985</v>
      </c>
      <c r="AA322" t="s">
        <v>70</v>
      </c>
      <c r="AB322" t="s">
        <v>1526</v>
      </c>
      <c r="AC322" t="s">
        <v>98</v>
      </c>
      <c r="AD322" t="s">
        <v>99</v>
      </c>
      <c r="AE322">
        <v>1311</v>
      </c>
      <c r="AF322" t="s">
        <v>100</v>
      </c>
      <c r="AG322">
        <v>6792</v>
      </c>
      <c r="AH322" t="s">
        <v>1447</v>
      </c>
      <c r="AI322">
        <v>13110101</v>
      </c>
      <c r="AJ322" t="s">
        <v>102</v>
      </c>
      <c r="AK322">
        <v>67929901</v>
      </c>
      <c r="AL322" t="s">
        <v>1448</v>
      </c>
      <c r="AM322">
        <v>211120</v>
      </c>
      <c r="AN322" t="s">
        <v>104</v>
      </c>
      <c r="AO322">
        <v>533110</v>
      </c>
      <c r="AP322" t="s">
        <v>1449</v>
      </c>
      <c r="AQ322" t="s">
        <v>75</v>
      </c>
      <c r="AT322" t="s">
        <v>76</v>
      </c>
      <c r="BF322">
        <v>0</v>
      </c>
      <c r="BG322">
        <v>0</v>
      </c>
      <c r="CK322" s="19">
        <f>IF(BQ322&gt;0,BQ322,W322)</f>
        <v>300000</v>
      </c>
      <c r="CL322" s="20">
        <f>IF(BS322&gt;0,BS322,Y322)</f>
        <v>2</v>
      </c>
      <c r="CM322" s="34">
        <f>IF(CG322&gt;0,CG322,AM322)</f>
        <v>211120</v>
      </c>
      <c r="CN322" s="80">
        <f>IF($BH322="",1,COUNTIF($BH$3:$BH322,$BH322))</f>
        <v>1</v>
      </c>
      <c r="CP322" t="str">
        <f>IF($K322="Standard Match","Match",IF($K322="Name Only Match",IF($CO322="Yes","Match","Name Only Match"),"No Match"))</f>
        <v>Match</v>
      </c>
      <c r="CQ322" s="35" t="str">
        <f>IF(AND(CP322="Match",CK322&gt;0,CL322&gt;0),"Y","N")</f>
        <v>Y</v>
      </c>
      <c r="CS322" t="str">
        <f>IF($CQ322="Y",VLOOKUP($CM322,'SBA Size Standards'!$B$3:$G$57,MATCH('SBA Size Standards'!$G$3,'SBA Size Standards'!$B$3:$G$3,0),FALSE),"")</f>
        <v>Employment</v>
      </c>
      <c r="CT322" s="60" t="str">
        <f>IF(CQ322="Y",IF($CS322="Employment","N/A",VLOOKUP($CM322,'SBA Size Standards'!$B$3:$G$57,MATCH('SBA Size Standards'!$E$3,'SBA Size Standards'!$B$3:$G$3,0),FALSE)),"")</f>
        <v>N/A</v>
      </c>
      <c r="CU322" s="86">
        <f>IF($CQ322="Y",IF($CS322="Revenue","N/A",VLOOKUP($CM322,'SBA Size Standards'!$B$3:$G$57,MATCH('SBA Size Standards'!$F$3,'SBA Size Standards'!$B$3:$G$3,0),FALSE)),"")</f>
        <v>1250</v>
      </c>
      <c r="CV322" t="str">
        <f>IF($CQ322="Y",IF(OR(AND($CS322="Employment",$CL322&lt;$CU322),AND($CS322="Revenue",$CK322&lt;$CT322)),"YES","NO"),"")</f>
        <v>YES</v>
      </c>
      <c r="CW322" s="90" t="str">
        <f>IF($CQ322="Y",INDEX('SBA Size Standards'!$N$3:$N$12,MATCH($CK322,'SBA Size Standards'!$O$3:$O$12,1)),"")</f>
        <v>$100,001 - $500,000</v>
      </c>
      <c r="CX322" s="122" t="s">
        <v>4631</v>
      </c>
      <c r="CY322" s="122">
        <f>INDEX('NM O&amp;G Production'!$P$3:$P$537,MATCH(CX322,'NM O&amp;G Production'!$Q$3:$Q$537,0))</f>
        <v>207</v>
      </c>
      <c r="CZ322" s="122" t="str">
        <f>INDEX('NM O&amp;G Production'!$O$3:$O$537,MATCH(CY322,'NM O&amp;G Production'!$P$3:$P$537,0))</f>
        <v>Yes</v>
      </c>
      <c r="DA322" s="127">
        <f>INDEX('NM O&amp;G Production'!$K$3:$O$537,MATCH($CY322,'NM O&amp;G Production'!$P$3:$P$537,0),MATCH(DA$2,'NM O&amp;G Production'!$K$2:$O$2,0))</f>
        <v>3</v>
      </c>
      <c r="DB322" s="127">
        <f>INDEX('NM O&amp;G Production'!$K$3:$O$537,MATCH($CY322,'NM O&amp;G Production'!$P$3:$P$537,0),MATCH(DB$2,'NM O&amp;G Production'!$K$2:$O$2,0))</f>
        <v>20</v>
      </c>
      <c r="DC322" s="127">
        <f>DA322+DB322</f>
        <v>23</v>
      </c>
      <c r="DD322" s="127">
        <f>INDEX('NM O&amp;G Production'!$K$3:$O$537,MATCH($CY322,'NM O&amp;G Production'!$P$3:$P$537,0),MATCH(DD$2,'NM O&amp;G Production'!$K$2:$O$2,0))</f>
        <v>196766</v>
      </c>
      <c r="DE322" s="127">
        <f>INDEX('NM O&amp;G Production'!$K$3:$O$537,MATCH($CY322,'NM O&amp;G Production'!$P$3:$P$537,0),MATCH(DE$2,'NM O&amp;G Production'!$K$2:$O$2,0))</f>
        <v>0</v>
      </c>
      <c r="DF322" s="258">
        <f>CK322/(DB322+DA322)</f>
        <v>13043.478260869566</v>
      </c>
      <c r="DG322" s="57">
        <f>DD322*(12/18)*1.06*'Oil and Gas Prices'!$C$18</f>
        <v>332324.65626666666</v>
      </c>
      <c r="DH322" s="284">
        <f>DE322*(12/18)*'Oil and Gas Prices'!$C$4</f>
        <v>0</v>
      </c>
      <c r="DI322" s="284">
        <f>DG322+DH322</f>
        <v>332324.65626666666</v>
      </c>
      <c r="DJ322" s="57">
        <f>(DG322+DH322)/(DA322+DB322)</f>
        <v>14448.898098550724</v>
      </c>
      <c r="DK322" s="318"/>
    </row>
    <row r="323" spans="1:115" x14ac:dyDescent="0.25">
      <c r="A323" t="s">
        <v>1412</v>
      </c>
      <c r="B323" t="s">
        <v>1413</v>
      </c>
      <c r="D323" t="s">
        <v>153</v>
      </c>
      <c r="E323" t="s">
        <v>80</v>
      </c>
      <c r="F323">
        <v>79710</v>
      </c>
      <c r="G323" t="s">
        <v>62</v>
      </c>
      <c r="I323">
        <v>189</v>
      </c>
      <c r="J323" t="s">
        <v>63</v>
      </c>
      <c r="K323" t="s">
        <v>4133</v>
      </c>
      <c r="L323" t="s">
        <v>149</v>
      </c>
      <c r="M323">
        <v>10</v>
      </c>
      <c r="N323" t="s">
        <v>1414</v>
      </c>
      <c r="O323" t="s">
        <v>1415</v>
      </c>
      <c r="Q323" t="s">
        <v>1416</v>
      </c>
      <c r="R323" t="s">
        <v>153</v>
      </c>
      <c r="S323" t="s">
        <v>94</v>
      </c>
      <c r="T323" t="s">
        <v>1417</v>
      </c>
      <c r="U323" t="s">
        <v>62</v>
      </c>
      <c r="V323">
        <v>4326844748</v>
      </c>
      <c r="W323" s="1">
        <v>299858</v>
      </c>
      <c r="X323">
        <v>4</v>
      </c>
      <c r="Y323">
        <v>4</v>
      </c>
      <c r="Z323">
        <v>1986</v>
      </c>
      <c r="AA323" t="s">
        <v>70</v>
      </c>
      <c r="AB323" t="s">
        <v>1418</v>
      </c>
      <c r="AC323" t="s">
        <v>98</v>
      </c>
      <c r="AD323" t="s">
        <v>71</v>
      </c>
      <c r="AE323">
        <v>1389</v>
      </c>
      <c r="AF323" t="s">
        <v>72</v>
      </c>
      <c r="AI323">
        <v>13890100</v>
      </c>
      <c r="AJ323" t="s">
        <v>412</v>
      </c>
      <c r="AM323">
        <v>237120</v>
      </c>
      <c r="AN323" t="s">
        <v>413</v>
      </c>
      <c r="AQ323" t="s">
        <v>75</v>
      </c>
      <c r="AT323" t="s">
        <v>76</v>
      </c>
      <c r="BF323">
        <v>0</v>
      </c>
      <c r="BG323">
        <v>0</v>
      </c>
      <c r="CK323" s="19">
        <f>IF(BQ323&gt;0,BQ323,W323)</f>
        <v>299858</v>
      </c>
      <c r="CL323" s="20">
        <f>IF(BS323&gt;0,BS323,Y323)</f>
        <v>4</v>
      </c>
      <c r="CM323" s="34">
        <f>IF(CG323&gt;0,CG323,AM323)</f>
        <v>237120</v>
      </c>
      <c r="CN323" s="80">
        <f>IF($BH323="",1,COUNTIF($BH$3:$BH323,$BH323))</f>
        <v>1</v>
      </c>
      <c r="CP323" t="str">
        <f>IF($K323="Standard Match","Match",IF($K323="Name Only Match",IF($CO323="Yes","Match","Name Only Match"),"No Match"))</f>
        <v>Match</v>
      </c>
      <c r="CQ323" s="35" t="str">
        <f>IF(AND(CP323="Match",CK323&gt;0,CL323&gt;0),"Y","N")</f>
        <v>Y</v>
      </c>
      <c r="CS323" t="str">
        <f>IF($CQ323="Y",VLOOKUP($CM323,'SBA Size Standards'!$B$3:$G$57,MATCH('SBA Size Standards'!$G$3,'SBA Size Standards'!$B$3:$G$3,0),FALSE),"")</f>
        <v>Revenue</v>
      </c>
      <c r="CT323" s="60">
        <f>IF(CQ323="Y",IF($CS323="Employment","N/A",VLOOKUP($CM323,'SBA Size Standards'!$B$3:$G$57,MATCH('SBA Size Standards'!$E$3,'SBA Size Standards'!$B$3:$G$3,0),FALSE)),"")</f>
        <v>39500000</v>
      </c>
      <c r="CU323" s="86" t="str">
        <f>IF($CQ323="Y",IF($CS323="Revenue","N/A",VLOOKUP($CM323,'SBA Size Standards'!$B$3:$G$57,MATCH('SBA Size Standards'!$F$3,'SBA Size Standards'!$B$3:$G$3,0),FALSE)),"")</f>
        <v>N/A</v>
      </c>
      <c r="CV323" t="str">
        <f>IF($CQ323="Y",IF(OR(AND($CS323="Employment",$CL323&lt;$CU323),AND($CS323="Revenue",$CK323&lt;$CT323)),"YES","NO"),"")</f>
        <v>YES</v>
      </c>
      <c r="CW323" s="90" t="str">
        <f>IF($CQ323="Y",INDEX('SBA Size Standards'!$N$3:$N$12,MATCH($CK323,'SBA Size Standards'!$O$3:$O$12,1)),"")</f>
        <v>$100,001 - $500,000</v>
      </c>
      <c r="CX323" s="122" t="s">
        <v>4618</v>
      </c>
      <c r="CY323" s="122">
        <f>INDEX('NM O&amp;G Production'!$P$3:$P$537,MATCH(CX323,'NM O&amp;G Production'!$Q$3:$Q$537,0))</f>
        <v>189</v>
      </c>
      <c r="CZ323" s="122" t="str">
        <f>INDEX('NM O&amp;G Production'!$O$3:$O$537,MATCH(CY323,'NM O&amp;G Production'!$P$3:$P$537,0))</f>
        <v>Yes</v>
      </c>
      <c r="DA323" s="127">
        <f>INDEX('NM O&amp;G Production'!$K$3:$O$537,MATCH($CY323,'NM O&amp;G Production'!$P$3:$P$537,0),MATCH(DA$2,'NM O&amp;G Production'!$K$2:$O$2,0))</f>
        <v>0</v>
      </c>
      <c r="DB323" s="127">
        <f>INDEX('NM O&amp;G Production'!$K$3:$O$537,MATCH($CY323,'NM O&amp;G Production'!$P$3:$P$537,0),MATCH(DB$2,'NM O&amp;G Production'!$K$2:$O$2,0))</f>
        <v>18</v>
      </c>
      <c r="DC323" s="127">
        <f>DA323+DB323</f>
        <v>18</v>
      </c>
      <c r="DD323" s="127">
        <f>INDEX('NM O&amp;G Production'!$K$3:$O$537,MATCH($CY323,'NM O&amp;G Production'!$P$3:$P$537,0),MATCH(DD$2,'NM O&amp;G Production'!$K$2:$O$2,0))</f>
        <v>21310</v>
      </c>
      <c r="DE323" s="127">
        <f>INDEX('NM O&amp;G Production'!$K$3:$O$537,MATCH($CY323,'NM O&amp;G Production'!$P$3:$P$537,0),MATCH(DE$2,'NM O&amp;G Production'!$K$2:$O$2,0))</f>
        <v>4510</v>
      </c>
      <c r="DF323" s="258">
        <f>CK323/(DB323+DA323)</f>
        <v>16658.777777777777</v>
      </c>
      <c r="DG323" s="57">
        <f>DD323*(12/18)*1.06*'Oil and Gas Prices'!$C$18</f>
        <v>35991.169333333339</v>
      </c>
      <c r="DH323" s="284">
        <f>DE323*(12/18)*'Oil and Gas Prices'!$C$4</f>
        <v>135300</v>
      </c>
      <c r="DI323" s="284">
        <f>DG323+DH323</f>
        <v>171291.16933333332</v>
      </c>
      <c r="DJ323" s="57">
        <f>(DG323+DH323)/(DA323+DB323)</f>
        <v>9516.1760740740738</v>
      </c>
      <c r="DK323" s="318"/>
    </row>
    <row r="324" spans="1:115" x14ac:dyDescent="0.25">
      <c r="A324" t="s">
        <v>2318</v>
      </c>
      <c r="B324" t="s">
        <v>2319</v>
      </c>
      <c r="D324" t="s">
        <v>2030</v>
      </c>
      <c r="E324" t="s">
        <v>84</v>
      </c>
      <c r="F324">
        <v>87504</v>
      </c>
      <c r="G324" t="s">
        <v>62</v>
      </c>
      <c r="I324">
        <v>328</v>
      </c>
      <c r="J324" t="s">
        <v>63</v>
      </c>
      <c r="K324" t="s">
        <v>4133</v>
      </c>
      <c r="L324" t="s">
        <v>149</v>
      </c>
      <c r="M324">
        <v>10</v>
      </c>
      <c r="N324" t="s">
        <v>2320</v>
      </c>
      <c r="O324" t="s">
        <v>2321</v>
      </c>
      <c r="Q324" t="s">
        <v>2322</v>
      </c>
      <c r="R324" t="s">
        <v>153</v>
      </c>
      <c r="S324" t="s">
        <v>94</v>
      </c>
      <c r="T324" t="s">
        <v>2323</v>
      </c>
      <c r="U324" t="s">
        <v>62</v>
      </c>
      <c r="V324">
        <v>4326835051</v>
      </c>
      <c r="W324" s="1">
        <v>289837</v>
      </c>
      <c r="X324">
        <v>2</v>
      </c>
      <c r="Y324">
        <v>2</v>
      </c>
      <c r="Z324">
        <v>1989</v>
      </c>
      <c r="AA324" t="s">
        <v>70</v>
      </c>
      <c r="AB324" t="s">
        <v>2324</v>
      </c>
      <c r="AC324" t="s">
        <v>98</v>
      </c>
      <c r="AD324" t="s">
        <v>99</v>
      </c>
      <c r="AE324">
        <v>1311</v>
      </c>
      <c r="AF324" t="s">
        <v>100</v>
      </c>
      <c r="AI324">
        <v>13110101</v>
      </c>
      <c r="AJ324" t="s">
        <v>102</v>
      </c>
      <c r="AM324">
        <v>211120</v>
      </c>
      <c r="AN324" t="s">
        <v>104</v>
      </c>
      <c r="AQ324" t="s">
        <v>75</v>
      </c>
      <c r="AT324" t="s">
        <v>76</v>
      </c>
      <c r="BF324">
        <v>0</v>
      </c>
      <c r="BG324">
        <v>0</v>
      </c>
      <c r="CK324" s="19">
        <f>IF(BQ324&gt;0,BQ324,W324)</f>
        <v>289837</v>
      </c>
      <c r="CL324" s="20">
        <f>IF(BS324&gt;0,BS324,Y324)</f>
        <v>2</v>
      </c>
      <c r="CM324" s="34">
        <f>IF(CG324&gt;0,CG324,AM324)</f>
        <v>211120</v>
      </c>
      <c r="CN324" s="80">
        <f>IF($BH324="",1,COUNTIF($BH$3:$BH324,$BH324))</f>
        <v>1</v>
      </c>
      <c r="CP324" t="str">
        <f>IF($K324="Standard Match","Match",IF($K324="Name Only Match",IF($CO324="Yes","Match","Name Only Match"),"No Match"))</f>
        <v>Match</v>
      </c>
      <c r="CQ324" s="35" t="str">
        <f>IF(AND(CP324="Match",CK324&gt;0,CL324&gt;0),"Y","N")</f>
        <v>Y</v>
      </c>
      <c r="CS324" t="str">
        <f>IF($CQ324="Y",VLOOKUP($CM324,'SBA Size Standards'!$B$3:$G$57,MATCH('SBA Size Standards'!$G$3,'SBA Size Standards'!$B$3:$G$3,0),FALSE),"")</f>
        <v>Employment</v>
      </c>
      <c r="CT324" s="60" t="str">
        <f>IF(CQ324="Y",IF($CS324="Employment","N/A",VLOOKUP($CM324,'SBA Size Standards'!$B$3:$G$57,MATCH('SBA Size Standards'!$E$3,'SBA Size Standards'!$B$3:$G$3,0),FALSE)),"")</f>
        <v>N/A</v>
      </c>
      <c r="CU324" s="86">
        <f>IF($CQ324="Y",IF($CS324="Revenue","N/A",VLOOKUP($CM324,'SBA Size Standards'!$B$3:$G$57,MATCH('SBA Size Standards'!$F$3,'SBA Size Standards'!$B$3:$G$3,0),FALSE)),"")</f>
        <v>1250</v>
      </c>
      <c r="CV324" t="str">
        <f>IF($CQ324="Y",IF(OR(AND($CS324="Employment",$CL324&lt;$CU324),AND($CS324="Revenue",$CK324&lt;$CT324)),"YES","NO"),"")</f>
        <v>YES</v>
      </c>
      <c r="CW324" s="90" t="str">
        <f>IF($CQ324="Y",INDEX('SBA Size Standards'!$N$3:$N$12,MATCH($CK324,'SBA Size Standards'!$O$3:$O$12,1)),"")</f>
        <v>$100,001 - $500,000</v>
      </c>
      <c r="CX324" s="122" t="s">
        <v>4689</v>
      </c>
      <c r="CY324" s="122">
        <f>INDEX('NM O&amp;G Production'!$P$3:$P$537,MATCH(CX324,'NM O&amp;G Production'!$Q$3:$Q$537,0))</f>
        <v>328</v>
      </c>
      <c r="CZ324" s="122" t="str">
        <f>INDEX('NM O&amp;G Production'!$O$3:$O$537,MATCH(CY324,'NM O&amp;G Production'!$P$3:$P$537,0))</f>
        <v>Yes</v>
      </c>
      <c r="DA324" s="127">
        <f>INDEX('NM O&amp;G Production'!$K$3:$O$537,MATCH($CY324,'NM O&amp;G Production'!$P$3:$P$537,0),MATCH(DA$2,'NM O&amp;G Production'!$K$2:$O$2,0))</f>
        <v>0</v>
      </c>
      <c r="DB324" s="127">
        <f>INDEX('NM O&amp;G Production'!$K$3:$O$537,MATCH($CY324,'NM O&amp;G Production'!$P$3:$P$537,0),MATCH(DB$2,'NM O&amp;G Production'!$K$2:$O$2,0))</f>
        <v>1</v>
      </c>
      <c r="DC324" s="127">
        <f>DA324+DB324</f>
        <v>1</v>
      </c>
      <c r="DD324" s="127">
        <f>INDEX('NM O&amp;G Production'!$K$3:$O$537,MATCH($CY324,'NM O&amp;G Production'!$P$3:$P$537,0),MATCH(DD$2,'NM O&amp;G Production'!$K$2:$O$2,0))</f>
        <v>18248</v>
      </c>
      <c r="DE324" s="127">
        <f>INDEX('NM O&amp;G Production'!$K$3:$O$537,MATCH($CY324,'NM O&amp;G Production'!$P$3:$P$537,0),MATCH(DE$2,'NM O&amp;G Production'!$K$2:$O$2,0))</f>
        <v>0</v>
      </c>
      <c r="DF324" s="258">
        <f>CK324/(DB324+DA324)</f>
        <v>289837</v>
      </c>
      <c r="DG324" s="57">
        <f>DD324*(12/18)*1.06*'Oil and Gas Prices'!$C$18</f>
        <v>30819.655466666667</v>
      </c>
      <c r="DH324" s="284">
        <f>DE324*(12/18)*'Oil and Gas Prices'!$C$4</f>
        <v>0</v>
      </c>
      <c r="DI324" s="284">
        <f>DG324+DH324</f>
        <v>30819.655466666667</v>
      </c>
      <c r="DJ324" s="57">
        <f>(DG324+DH324)/(DA324+DB324)</f>
        <v>30819.655466666667</v>
      </c>
      <c r="DK324" s="319"/>
    </row>
    <row r="325" spans="1:115" x14ac:dyDescent="0.25">
      <c r="A325" t="s">
        <v>1840</v>
      </c>
      <c r="B325" t="s">
        <v>1841</v>
      </c>
      <c r="D325" t="s">
        <v>1842</v>
      </c>
      <c r="E325" t="s">
        <v>184</v>
      </c>
      <c r="F325">
        <v>73534</v>
      </c>
      <c r="G325" t="s">
        <v>62</v>
      </c>
      <c r="I325">
        <v>253</v>
      </c>
      <c r="J325" t="s">
        <v>63</v>
      </c>
      <c r="K325" t="s">
        <v>4133</v>
      </c>
      <c r="L325" t="s">
        <v>419</v>
      </c>
      <c r="M325">
        <v>8</v>
      </c>
      <c r="N325" t="s">
        <v>1843</v>
      </c>
      <c r="O325" t="s">
        <v>1844</v>
      </c>
      <c r="P325" t="s">
        <v>1845</v>
      </c>
      <c r="Q325" t="s">
        <v>1846</v>
      </c>
      <c r="R325" t="s">
        <v>1842</v>
      </c>
      <c r="S325" t="s">
        <v>188</v>
      </c>
      <c r="T325" t="s">
        <v>1847</v>
      </c>
      <c r="U325" t="s">
        <v>62</v>
      </c>
      <c r="V325">
        <v>5802551191</v>
      </c>
      <c r="W325" s="1">
        <v>288332</v>
      </c>
      <c r="X325">
        <v>1</v>
      </c>
      <c r="Y325">
        <v>1</v>
      </c>
      <c r="Z325">
        <v>1958</v>
      </c>
      <c r="AA325" t="s">
        <v>163</v>
      </c>
      <c r="AB325" t="s">
        <v>1848</v>
      </c>
      <c r="AC325" t="s">
        <v>483</v>
      </c>
      <c r="AD325" t="s">
        <v>99</v>
      </c>
      <c r="AE325">
        <v>1311</v>
      </c>
      <c r="AF325" t="s">
        <v>100</v>
      </c>
      <c r="AI325">
        <v>13110101</v>
      </c>
      <c r="AJ325" t="s">
        <v>102</v>
      </c>
      <c r="AM325">
        <v>211120</v>
      </c>
      <c r="AN325" t="s">
        <v>104</v>
      </c>
      <c r="AQ325" t="s">
        <v>75</v>
      </c>
      <c r="AR325" t="s">
        <v>1843</v>
      </c>
      <c r="AS325" t="s">
        <v>1844</v>
      </c>
      <c r="AT325" t="s">
        <v>427</v>
      </c>
      <c r="AU325" t="s">
        <v>184</v>
      </c>
      <c r="AV325" t="s">
        <v>62</v>
      </c>
      <c r="AW325" t="s">
        <v>1843</v>
      </c>
      <c r="AX325" t="s">
        <v>1844</v>
      </c>
      <c r="AY325" t="s">
        <v>184</v>
      </c>
      <c r="AZ325" t="s">
        <v>62</v>
      </c>
      <c r="BE325" t="s">
        <v>62</v>
      </c>
      <c r="BF325">
        <v>1</v>
      </c>
      <c r="BG325">
        <v>2</v>
      </c>
      <c r="BH325" s="4" t="s">
        <v>1843</v>
      </c>
      <c r="BI325" s="4" t="s">
        <v>1844</v>
      </c>
      <c r="BJ325" s="4" t="s">
        <v>1845</v>
      </c>
      <c r="BK325" s="4" t="s">
        <v>1846</v>
      </c>
      <c r="BL325" s="4" t="s">
        <v>1842</v>
      </c>
      <c r="BM325" s="4" t="s">
        <v>188</v>
      </c>
      <c r="BN325" s="4" t="s">
        <v>1847</v>
      </c>
      <c r="BO325" s="4" t="s">
        <v>62</v>
      </c>
      <c r="BP325" s="4">
        <v>5802551191</v>
      </c>
      <c r="BQ325" s="5">
        <v>288332</v>
      </c>
      <c r="BR325" s="4">
        <v>1</v>
      </c>
      <c r="BS325" s="4">
        <v>1</v>
      </c>
      <c r="BT325" s="4">
        <v>1958</v>
      </c>
      <c r="BU325" s="4" t="s">
        <v>163</v>
      </c>
      <c r="BV325" s="4" t="s">
        <v>1848</v>
      </c>
      <c r="BW325" s="4" t="s">
        <v>483</v>
      </c>
      <c r="BX325" s="4" t="s">
        <v>99</v>
      </c>
      <c r="BY325" s="4">
        <v>1311</v>
      </c>
      <c r="BZ325" s="4" t="s">
        <v>100</v>
      </c>
      <c r="CC325" s="4">
        <v>13110101</v>
      </c>
      <c r="CD325" s="4" t="s">
        <v>102</v>
      </c>
      <c r="CG325" s="4">
        <v>211120</v>
      </c>
      <c r="CH325" s="4" t="s">
        <v>104</v>
      </c>
      <c r="CK325" s="19">
        <f>IF(BQ325&gt;0,BQ325,W325)</f>
        <v>288332</v>
      </c>
      <c r="CL325" s="20">
        <f>IF(BS325&gt;0,BS325,Y325)</f>
        <v>1</v>
      </c>
      <c r="CM325" s="34">
        <f>IF(CG325&gt;0,CG325,AM325)</f>
        <v>211120</v>
      </c>
      <c r="CN325" s="80">
        <f>IF($BH325="",1,COUNTIF($BH$3:$BH325,$BH325))</f>
        <v>1</v>
      </c>
      <c r="CP325" t="str">
        <f>IF($K325="Standard Match","Match",IF($K325="Name Only Match",IF($CO325="Yes","Match","Name Only Match"),"No Match"))</f>
        <v>Match</v>
      </c>
      <c r="CQ325" s="35" t="str">
        <f>IF(AND(CP325="Match",CK325&gt;0,CL325&gt;0),"Y","N")</f>
        <v>Y</v>
      </c>
      <c r="CS325" t="str">
        <f>IF($CQ325="Y",VLOOKUP($CM325,'SBA Size Standards'!$B$3:$G$57,MATCH('SBA Size Standards'!$G$3,'SBA Size Standards'!$B$3:$G$3,0),FALSE),"")</f>
        <v>Employment</v>
      </c>
      <c r="CT325" s="60" t="str">
        <f>IF(CQ325="Y",IF($CS325="Employment","N/A",VLOOKUP($CM325,'SBA Size Standards'!$B$3:$G$57,MATCH('SBA Size Standards'!$E$3,'SBA Size Standards'!$B$3:$G$3,0),FALSE)),"")</f>
        <v>N/A</v>
      </c>
      <c r="CU325" s="86">
        <f>IF($CQ325="Y",IF($CS325="Revenue","N/A",VLOOKUP($CM325,'SBA Size Standards'!$B$3:$G$57,MATCH('SBA Size Standards'!$F$3,'SBA Size Standards'!$B$3:$G$3,0),FALSE)),"")</f>
        <v>1250</v>
      </c>
      <c r="CV325" t="str">
        <f>IF($CQ325="Y",IF(OR(AND($CS325="Employment",$CL325&lt;$CU325),AND($CS325="Revenue",$CK325&lt;$CT325)),"YES","NO"),"")</f>
        <v>YES</v>
      </c>
      <c r="CW325" s="90" t="str">
        <f>IF($CQ325="Y",INDEX('SBA Size Standards'!$N$3:$N$12,MATCH($CK325,'SBA Size Standards'!$O$3:$O$12,1)),"")</f>
        <v>$100,001 - $500,000</v>
      </c>
      <c r="CX325" s="122" t="s">
        <v>4857</v>
      </c>
      <c r="CY325" s="122">
        <f>INDEX('NM O&amp;G Production'!$P$3:$P$537,MATCH(CX325,'NM O&amp;G Production'!$Q$3:$Q$537,0))</f>
        <v>253</v>
      </c>
      <c r="CZ325" s="122" t="str">
        <f>INDEX('NM O&amp;G Production'!$O$3:$O$537,MATCH(CY325,'NM O&amp;G Production'!$P$3:$P$537,0))</f>
        <v>Yes</v>
      </c>
      <c r="DA325" s="127">
        <f>INDEX('NM O&amp;G Production'!$K$3:$O$537,MATCH($CY325,'NM O&amp;G Production'!$P$3:$P$537,0),MATCH(DA$2,'NM O&amp;G Production'!$K$2:$O$2,0))</f>
        <v>1</v>
      </c>
      <c r="DB325" s="127">
        <f>INDEX('NM O&amp;G Production'!$K$3:$O$537,MATCH($CY325,'NM O&amp;G Production'!$P$3:$P$537,0),MATCH(DB$2,'NM O&amp;G Production'!$K$2:$O$2,0))</f>
        <v>11</v>
      </c>
      <c r="DC325" s="127">
        <f>DA325+DB325</f>
        <v>12</v>
      </c>
      <c r="DD325" s="127">
        <f>INDEX('NM O&amp;G Production'!$K$3:$O$537,MATCH($CY325,'NM O&amp;G Production'!$P$3:$P$537,0),MATCH(DD$2,'NM O&amp;G Production'!$K$2:$O$2,0))</f>
        <v>24798</v>
      </c>
      <c r="DE325" s="127">
        <f>INDEX('NM O&amp;G Production'!$K$3:$O$537,MATCH($CY325,'NM O&amp;G Production'!$P$3:$P$537,0),MATCH(DE$2,'NM O&amp;G Production'!$K$2:$O$2,0))</f>
        <v>12452</v>
      </c>
      <c r="DF325" s="258">
        <f>CK325/(DB325+DA325)</f>
        <v>24027.666666666668</v>
      </c>
      <c r="DG325" s="57">
        <f>DD325*(12/18)*1.06*'Oil and Gas Prices'!$C$18</f>
        <v>41882.168800000007</v>
      </c>
      <c r="DH325" s="284">
        <f>DE325*(12/18)*'Oil and Gas Prices'!$C$4</f>
        <v>373559.99999999994</v>
      </c>
      <c r="DI325" s="284">
        <f>DG325+DH325</f>
        <v>415442.16879999993</v>
      </c>
      <c r="DJ325" s="57">
        <f>(DG325+DH325)/(DA325+DB325)</f>
        <v>34620.180733333327</v>
      </c>
      <c r="DK325" s="318"/>
    </row>
    <row r="326" spans="1:115" x14ac:dyDescent="0.25">
      <c r="A326" s="21" t="s">
        <v>2278</v>
      </c>
      <c r="B326" s="21" t="s">
        <v>2279</v>
      </c>
      <c r="C326" s="21"/>
      <c r="D326" s="21" t="s">
        <v>123</v>
      </c>
      <c r="E326" s="21" t="s">
        <v>84</v>
      </c>
      <c r="F326">
        <v>87401</v>
      </c>
      <c r="G326" t="s">
        <v>62</v>
      </c>
      <c r="I326">
        <v>322</v>
      </c>
      <c r="J326" t="s">
        <v>63</v>
      </c>
      <c r="K326" t="s">
        <v>4134</v>
      </c>
      <c r="L326" t="s">
        <v>3627</v>
      </c>
      <c r="M326">
        <v>8</v>
      </c>
      <c r="N326" t="s">
        <v>3921</v>
      </c>
      <c r="O326" s="21" t="s">
        <v>3922</v>
      </c>
      <c r="P326" s="21"/>
      <c r="Q326" s="21" t="s">
        <v>3923</v>
      </c>
      <c r="R326" s="21" t="s">
        <v>3924</v>
      </c>
      <c r="S326" s="21" t="s">
        <v>3925</v>
      </c>
      <c r="T326" t="s">
        <v>3926</v>
      </c>
      <c r="U326" t="s">
        <v>62</v>
      </c>
      <c r="V326">
        <v>3379237234</v>
      </c>
      <c r="W326" s="23">
        <v>282440</v>
      </c>
      <c r="X326" s="21">
        <v>3</v>
      </c>
      <c r="Y326" s="21">
        <v>3</v>
      </c>
      <c r="Z326">
        <v>2012</v>
      </c>
      <c r="AA326" s="21" t="s">
        <v>70</v>
      </c>
      <c r="AB326" t="s">
        <v>3927</v>
      </c>
      <c r="AC326" t="s">
        <v>677</v>
      </c>
      <c r="AD326" s="21" t="s">
        <v>825</v>
      </c>
      <c r="AE326">
        <v>5172</v>
      </c>
      <c r="AF326" t="s">
        <v>826</v>
      </c>
      <c r="AI326">
        <v>51729905</v>
      </c>
      <c r="AJ326" t="s">
        <v>3928</v>
      </c>
      <c r="AM326" s="21">
        <v>424720</v>
      </c>
      <c r="AN326" s="21" t="s">
        <v>827</v>
      </c>
      <c r="AO326" s="21"/>
      <c r="AP326" s="21"/>
      <c r="AQ326" s="21" t="s">
        <v>75</v>
      </c>
      <c r="AT326" t="s">
        <v>76</v>
      </c>
      <c r="BF326">
        <v>0</v>
      </c>
      <c r="BG326" s="24">
        <v>0</v>
      </c>
      <c r="BH326" s="24"/>
      <c r="BI326" s="24"/>
      <c r="BJ326" s="24"/>
      <c r="BK326" s="24"/>
      <c r="BL326" s="24"/>
      <c r="BM326" s="24"/>
      <c r="BN326" s="24"/>
      <c r="BO326" s="24"/>
      <c r="BQ326" s="24"/>
      <c r="BR326" s="24"/>
      <c r="BS326" s="24"/>
      <c r="BU326" s="24"/>
      <c r="BX326" s="24"/>
      <c r="CG326" s="24"/>
      <c r="CH326" s="24"/>
      <c r="CI326" s="24"/>
      <c r="CJ326" s="24"/>
      <c r="CK326" s="19">
        <f>IF(BQ326&gt;0,BQ326,W326)</f>
        <v>282440</v>
      </c>
      <c r="CL326" s="20">
        <f>IF(BS326&gt;0,BS326,Y326)</f>
        <v>3</v>
      </c>
      <c r="CM326" s="34">
        <f>IF(CG326&gt;0,CG326,AM326)</f>
        <v>424720</v>
      </c>
      <c r="CN326" s="80">
        <f>IF($BH326="",1,COUNTIF($BH$3:$BH326,$BH326))</f>
        <v>1</v>
      </c>
      <c r="CO326" s="33" t="s">
        <v>4386</v>
      </c>
      <c r="CP326" t="str">
        <f>IF($K326="Standard Match","Match",IF($K326="Name Only Match",IF($CO326="Yes","Match","Name Only Match"),"No Match"))</f>
        <v>Match</v>
      </c>
      <c r="CQ326" s="35" t="str">
        <f>IF(AND(CP326="Match",CK326&gt;0,CL326&gt;0),"Y","N")</f>
        <v>Y</v>
      </c>
      <c r="CR326" s="21"/>
      <c r="CS326" t="str">
        <f>IF($CQ326="Y",VLOOKUP($CM326,'SBA Size Standards'!$B$3:$G$57,MATCH('SBA Size Standards'!$G$3,'SBA Size Standards'!$B$3:$G$3,0),FALSE),"")</f>
        <v>Employment</v>
      </c>
      <c r="CT326" s="60" t="str">
        <f>IF(CQ326="Y",IF($CS326="Employment","N/A",VLOOKUP($CM326,'SBA Size Standards'!$B$3:$G$57,MATCH('SBA Size Standards'!$E$3,'SBA Size Standards'!$B$3:$G$3,0),FALSE)),"")</f>
        <v>N/A</v>
      </c>
      <c r="CU326" s="86">
        <f>IF($CQ326="Y",IF($CS326="Revenue","N/A",VLOOKUP($CM326,'SBA Size Standards'!$B$3:$G$57,MATCH('SBA Size Standards'!$F$3,'SBA Size Standards'!$B$3:$G$3,0),FALSE)),"")</f>
        <v>200</v>
      </c>
      <c r="CV326" t="str">
        <f>IF($CQ326="Y",IF(OR(AND($CS326="Employment",$CL326&lt;$CU326),AND($CS326="Revenue",$CK326&lt;$CT326)),"YES","NO"),"")</f>
        <v>YES</v>
      </c>
      <c r="CW326" s="90" t="str">
        <f>IF($CQ326="Y",INDEX('SBA Size Standards'!$N$3:$N$12,MATCH($CK326,'SBA Size Standards'!$O$3:$O$12,1)),"")</f>
        <v>$100,001 - $500,000</v>
      </c>
      <c r="CX326" s="122" t="s">
        <v>4979</v>
      </c>
      <c r="CY326" s="122">
        <f>INDEX('NM O&amp;G Production'!$P$3:$P$537,MATCH(CX326,'NM O&amp;G Production'!$Q$3:$Q$537,0))</f>
        <v>322</v>
      </c>
      <c r="CZ326" s="122" t="str">
        <f>INDEX('NM O&amp;G Production'!$O$3:$O$537,MATCH(CY326,'NM O&amp;G Production'!$P$3:$P$537,0))</f>
        <v>No</v>
      </c>
      <c r="DA326" s="127">
        <f>INDEX('NM O&amp;G Production'!$K$3:$O$537,MATCH($CY326,'NM O&amp;G Production'!$P$3:$P$537,0),MATCH(DA$2,'NM O&amp;G Production'!$K$2:$O$2,0))</f>
        <v>0</v>
      </c>
      <c r="DB326" s="127">
        <f>INDEX('NM O&amp;G Production'!$K$3:$O$537,MATCH($CY326,'NM O&amp;G Production'!$P$3:$P$537,0),MATCH(DB$2,'NM O&amp;G Production'!$K$2:$O$2,0))</f>
        <v>0</v>
      </c>
      <c r="DC326" s="127"/>
      <c r="DD326" s="127">
        <f>INDEX('NM O&amp;G Production'!$K$3:$O$537,MATCH($CY326,'NM O&amp;G Production'!$P$3:$P$537,0),MATCH(DD$2,'NM O&amp;G Production'!$K$2:$O$2,0))</f>
        <v>0</v>
      </c>
      <c r="DE326" s="127">
        <f>INDEX('NM O&amp;G Production'!$K$3:$O$537,MATCH($CY326,'NM O&amp;G Production'!$P$3:$P$537,0),MATCH(DE$2,'NM O&amp;G Production'!$K$2:$O$2,0))</f>
        <v>0</v>
      </c>
      <c r="DF326" s="258" t="e">
        <f>CK326/(DB326+DA326)</f>
        <v>#DIV/0!</v>
      </c>
      <c r="DG326" s="57">
        <f>DD326*(12/18)*1.06*'Oil and Gas Prices'!$C$18</f>
        <v>0</v>
      </c>
      <c r="DH326" s="284">
        <f>DE326*(12/18)*'Oil and Gas Prices'!$C$4</f>
        <v>0</v>
      </c>
      <c r="DI326" s="284"/>
      <c r="DJ326" s="57" t="e">
        <f>(DG326+DH326)/(DA326+DB326)</f>
        <v>#DIV/0!</v>
      </c>
      <c r="DK326" s="18" t="e">
        <f>CK326/DI326</f>
        <v>#DIV/0!</v>
      </c>
    </row>
    <row r="327" spans="1:115" x14ac:dyDescent="0.25">
      <c r="A327" t="s">
        <v>3372</v>
      </c>
      <c r="B327" t="s">
        <v>3373</v>
      </c>
      <c r="D327" t="s">
        <v>123</v>
      </c>
      <c r="E327" t="s">
        <v>84</v>
      </c>
      <c r="F327">
        <v>87401</v>
      </c>
      <c r="G327" t="s">
        <v>62</v>
      </c>
      <c r="I327">
        <v>499</v>
      </c>
      <c r="J327" t="s">
        <v>404</v>
      </c>
      <c r="K327" t="s">
        <v>4133</v>
      </c>
      <c r="L327" t="s">
        <v>113</v>
      </c>
      <c r="M327">
        <v>8</v>
      </c>
      <c r="N327" t="s">
        <v>3374</v>
      </c>
      <c r="O327" t="s">
        <v>3375</v>
      </c>
      <c r="Q327" t="s">
        <v>3343</v>
      </c>
      <c r="R327" t="s">
        <v>123</v>
      </c>
      <c r="S327" t="s">
        <v>214</v>
      </c>
      <c r="T327" t="s">
        <v>3347</v>
      </c>
      <c r="U327" t="s">
        <v>62</v>
      </c>
      <c r="V327">
        <v>5055643776</v>
      </c>
      <c r="W327" s="1">
        <v>280000</v>
      </c>
      <c r="X327">
        <v>2</v>
      </c>
      <c r="Y327">
        <v>0</v>
      </c>
      <c r="AA327" t="s">
        <v>70</v>
      </c>
      <c r="AB327" t="s">
        <v>3376</v>
      </c>
      <c r="AC327" t="s">
        <v>677</v>
      </c>
      <c r="AD327" t="s">
        <v>3377</v>
      </c>
      <c r="AE327">
        <v>5085</v>
      </c>
      <c r="AF327" t="s">
        <v>3378</v>
      </c>
      <c r="AI327">
        <v>50859905</v>
      </c>
      <c r="AJ327" t="s">
        <v>3379</v>
      </c>
      <c r="AM327">
        <v>423840</v>
      </c>
      <c r="AN327" t="s">
        <v>3380</v>
      </c>
      <c r="AQ327" t="s">
        <v>75</v>
      </c>
      <c r="AT327" t="s">
        <v>76</v>
      </c>
      <c r="BF327">
        <v>0</v>
      </c>
      <c r="BG327">
        <v>0</v>
      </c>
      <c r="CK327" s="19">
        <f>IF(BQ327&gt;0,BQ327,W327)</f>
        <v>280000</v>
      </c>
      <c r="CL327" s="20">
        <f>IF(BS327&gt;0,BS327,Y327)</f>
        <v>0</v>
      </c>
      <c r="CM327" s="78">
        <f>IF(CG327&gt;0,CG327,AM327)</f>
        <v>423840</v>
      </c>
      <c r="CN327" s="80">
        <f>IF($BH327="",1,COUNTIF($BH$3:$BH327,$BH327))</f>
        <v>1</v>
      </c>
      <c r="CP327" t="str">
        <f>IF($K327="Standard Match","Match",IF($K327="Name Only Match",IF($CO327="Yes","Match","Name Only Match"),"No Match"))</f>
        <v>Match</v>
      </c>
      <c r="CQ327" s="35" t="str">
        <f>IF(AND(CP327="Match",CK327&gt;0,CL327&gt;0),"Y","N")</f>
        <v>N</v>
      </c>
      <c r="CS327" t="str">
        <f>IF($CQ327="Y",VLOOKUP($CM327,'SBA Size Standards'!$B$3:$G$57,MATCH('SBA Size Standards'!$G$3,'SBA Size Standards'!$B$3:$G$3,0),FALSE),"")</f>
        <v/>
      </c>
      <c r="CT327" s="60" t="str">
        <f>IF(CQ327="Y",IF($CS327="Employment","N/A",VLOOKUP($CM327,'SBA Size Standards'!$B$3:$G$57,MATCH('SBA Size Standards'!$E$3,'SBA Size Standards'!$B$3:$G$3,0),FALSE)),"")</f>
        <v/>
      </c>
      <c r="CU327" s="86" t="str">
        <f>IF($CQ327="Y",IF($CS327="Revenue","N/A",VLOOKUP($CM327,'SBA Size Standards'!$B$3:$G$57,MATCH('SBA Size Standards'!$F$3,'SBA Size Standards'!$B$3:$G$3,0),FALSE)),"")</f>
        <v/>
      </c>
      <c r="CV327" t="str">
        <f>IF($CQ327="Y",IF(OR(AND($CS327="Employment",$CL327&lt;$CU327),AND($CS327="Revenue",$CK327&lt;$CT327)),"YES","NO"),"")</f>
        <v/>
      </c>
      <c r="CW327" s="90" t="str">
        <f>IF($CQ327="Y",INDEX('SBA Size Standards'!$N$3:$N$12,MATCH($CK327,'SBA Size Standards'!$O$3:$O$12,1)),"")</f>
        <v/>
      </c>
      <c r="CX327" s="122" t="s">
        <v>4917</v>
      </c>
      <c r="CY327" s="122">
        <f>INDEX('NM O&amp;G Production'!$P$3:$P$537,MATCH(CX327,'NM O&amp;G Production'!$Q$3:$Q$537,0))</f>
        <v>499</v>
      </c>
      <c r="CZ327" s="122" t="str">
        <f>INDEX('NM O&amp;G Production'!$O$3:$O$537,MATCH(CY327,'NM O&amp;G Production'!$P$3:$P$537,0))</f>
        <v>No</v>
      </c>
      <c r="DA327" s="127">
        <f>INDEX('NM O&amp;G Production'!$K$3:$O$537,MATCH($CY327,'NM O&amp;G Production'!$P$3:$P$537,0),MATCH(DA$2,'NM O&amp;G Production'!$K$2:$O$2,0))</f>
        <v>0</v>
      </c>
      <c r="DB327" s="127">
        <f>INDEX('NM O&amp;G Production'!$K$3:$O$537,MATCH($CY327,'NM O&amp;G Production'!$P$3:$P$537,0),MATCH(DB$2,'NM O&amp;G Production'!$K$2:$O$2,0))</f>
        <v>0</v>
      </c>
      <c r="DC327" s="127"/>
      <c r="DD327" s="127">
        <f>INDEX('NM O&amp;G Production'!$K$3:$O$537,MATCH($CY327,'NM O&amp;G Production'!$P$3:$P$537,0),MATCH(DD$2,'NM O&amp;G Production'!$K$2:$O$2,0))</f>
        <v>0</v>
      </c>
      <c r="DE327" s="127">
        <f>INDEX('NM O&amp;G Production'!$K$3:$O$537,MATCH($CY327,'NM O&amp;G Production'!$P$3:$P$537,0),MATCH(DE$2,'NM O&amp;G Production'!$K$2:$O$2,0))</f>
        <v>0</v>
      </c>
      <c r="DF327" s="258" t="e">
        <f>CK327/(DB327+DA327)</f>
        <v>#DIV/0!</v>
      </c>
      <c r="DG327" s="57">
        <f>DD327*(12/18)*1.06*'Oil and Gas Prices'!$C$18</f>
        <v>0</v>
      </c>
      <c r="DH327" s="284">
        <f>DE327*(12/18)*'Oil and Gas Prices'!$C$4</f>
        <v>0</v>
      </c>
      <c r="DI327" s="284"/>
      <c r="DJ327" s="57" t="e">
        <f>(DG327+DH327)/(DA327+DB327)</f>
        <v>#DIV/0!</v>
      </c>
      <c r="DK327" s="18" t="e">
        <f>CK327/DI327</f>
        <v>#DIV/0!</v>
      </c>
    </row>
    <row r="328" spans="1:115" x14ac:dyDescent="0.25">
      <c r="A328" t="s">
        <v>1215</v>
      </c>
      <c r="B328" t="s">
        <v>1216</v>
      </c>
      <c r="D328" t="s">
        <v>344</v>
      </c>
      <c r="E328" t="s">
        <v>80</v>
      </c>
      <c r="F328">
        <v>79714</v>
      </c>
      <c r="G328" t="s">
        <v>62</v>
      </c>
      <c r="I328">
        <v>159</v>
      </c>
      <c r="J328" t="s">
        <v>89</v>
      </c>
      <c r="K328" t="s">
        <v>4133</v>
      </c>
      <c r="L328" t="s">
        <v>149</v>
      </c>
      <c r="M328">
        <v>10</v>
      </c>
      <c r="N328" t="s">
        <v>1217</v>
      </c>
      <c r="O328" t="s">
        <v>1218</v>
      </c>
      <c r="Q328" t="s">
        <v>1219</v>
      </c>
      <c r="R328" t="s">
        <v>344</v>
      </c>
      <c r="S328" t="s">
        <v>94</v>
      </c>
      <c r="T328" t="s">
        <v>1220</v>
      </c>
      <c r="U328" t="s">
        <v>62</v>
      </c>
      <c r="V328">
        <v>4325609090</v>
      </c>
      <c r="W328" s="1">
        <v>280000</v>
      </c>
      <c r="X328">
        <v>2</v>
      </c>
      <c r="Y328">
        <v>2</v>
      </c>
      <c r="Z328">
        <v>1987</v>
      </c>
      <c r="AA328" t="s">
        <v>70</v>
      </c>
      <c r="AB328" t="s">
        <v>1221</v>
      </c>
      <c r="AC328" t="s">
        <v>98</v>
      </c>
      <c r="AD328" t="s">
        <v>119</v>
      </c>
      <c r="AE328">
        <v>1382</v>
      </c>
      <c r="AF328" t="s">
        <v>120</v>
      </c>
      <c r="AI328">
        <v>13829902</v>
      </c>
      <c r="AJ328" t="s">
        <v>243</v>
      </c>
      <c r="AM328">
        <v>213112</v>
      </c>
      <c r="AN328" t="s">
        <v>74</v>
      </c>
      <c r="AQ328" t="s">
        <v>75</v>
      </c>
      <c r="AT328" t="s">
        <v>76</v>
      </c>
      <c r="BF328">
        <v>0</v>
      </c>
      <c r="BG328">
        <v>0</v>
      </c>
      <c r="CK328" s="19">
        <f>IF(BQ328&gt;0,BQ328,W328)</f>
        <v>280000</v>
      </c>
      <c r="CL328" s="20">
        <f>IF(BS328&gt;0,BS328,Y328)</f>
        <v>2</v>
      </c>
      <c r="CM328" s="34">
        <f>IF(CG328&gt;0,CG328,AM328)</f>
        <v>213112</v>
      </c>
      <c r="CN328" s="80">
        <f>IF($BH328="",1,COUNTIF($BH$3:$BH328,$BH328))</f>
        <v>1</v>
      </c>
      <c r="CP328" t="str">
        <f>IF($K328="Standard Match","Match",IF($K328="Name Only Match",IF($CO328="Yes","Match","Name Only Match"),"No Match"))</f>
        <v>Match</v>
      </c>
      <c r="CQ328" s="35" t="str">
        <f>IF(AND(CP328="Match",CK328&gt;0,CL328&gt;0),"Y","N")</f>
        <v>Y</v>
      </c>
      <c r="CS328" t="str">
        <f>IF($CQ328="Y",VLOOKUP($CM328,'SBA Size Standards'!$B$3:$G$57,MATCH('SBA Size Standards'!$G$3,'SBA Size Standards'!$B$3:$G$3,0),FALSE),"")</f>
        <v>Revenue</v>
      </c>
      <c r="CT328" s="60">
        <f>IF(CQ328="Y",IF($CS328="Employment","N/A",VLOOKUP($CM328,'SBA Size Standards'!$B$3:$G$57,MATCH('SBA Size Standards'!$E$3,'SBA Size Standards'!$B$3:$G$3,0),FALSE)),"")</f>
        <v>41500000</v>
      </c>
      <c r="CU328" s="86" t="str">
        <f>IF($CQ328="Y",IF($CS328="Revenue","N/A",VLOOKUP($CM328,'SBA Size Standards'!$B$3:$G$57,MATCH('SBA Size Standards'!$F$3,'SBA Size Standards'!$B$3:$G$3,0),FALSE)),"")</f>
        <v>N/A</v>
      </c>
      <c r="CV328" t="str">
        <f>IF($CQ328="Y",IF(OR(AND($CS328="Employment",$CL328&lt;$CU328),AND($CS328="Revenue",$CK328&lt;$CT328)),"YES","NO"),"")</f>
        <v>YES</v>
      </c>
      <c r="CW328" s="90" t="str">
        <f>IF($CQ328="Y",INDEX('SBA Size Standards'!$N$3:$N$12,MATCH($CK328,'SBA Size Standards'!$O$3:$O$12,1)),"")</f>
        <v>$100,001 - $500,000</v>
      </c>
      <c r="CX328" s="122" t="s">
        <v>4605</v>
      </c>
      <c r="CY328" s="122">
        <f>INDEX('NM O&amp;G Production'!$P$3:$P$537,MATCH(CX328,'NM O&amp;G Production'!$Q$3:$Q$537,0))</f>
        <v>159</v>
      </c>
      <c r="CZ328" s="122" t="str">
        <f>INDEX('NM O&amp;G Production'!$O$3:$O$537,MATCH(CY328,'NM O&amp;G Production'!$P$3:$P$537,0))</f>
        <v>Yes</v>
      </c>
      <c r="DA328" s="127">
        <f>INDEX('NM O&amp;G Production'!$K$3:$O$537,MATCH($CY328,'NM O&amp;G Production'!$P$3:$P$537,0),MATCH(DA$2,'NM O&amp;G Production'!$K$2:$O$2,0))</f>
        <v>0</v>
      </c>
      <c r="DB328" s="127">
        <f>INDEX('NM O&amp;G Production'!$K$3:$O$537,MATCH($CY328,'NM O&amp;G Production'!$P$3:$P$537,0),MATCH(DB$2,'NM O&amp;G Production'!$K$2:$O$2,0))</f>
        <v>5</v>
      </c>
      <c r="DC328" s="127">
        <f>DA328+DB328</f>
        <v>5</v>
      </c>
      <c r="DD328" s="127">
        <f>INDEX('NM O&amp;G Production'!$K$3:$O$537,MATCH($CY328,'NM O&amp;G Production'!$P$3:$P$537,0),MATCH(DD$2,'NM O&amp;G Production'!$K$2:$O$2,0))</f>
        <v>5093</v>
      </c>
      <c r="DE328" s="127">
        <f>INDEX('NM O&amp;G Production'!$K$3:$O$537,MATCH($CY328,'NM O&amp;G Production'!$P$3:$P$537,0),MATCH(DE$2,'NM O&amp;G Production'!$K$2:$O$2,0))</f>
        <v>2041</v>
      </c>
      <c r="DF328" s="258">
        <f>CK328/(DB328+DA328)</f>
        <v>56000</v>
      </c>
      <c r="DG328" s="57">
        <f>DD328*(12/18)*1.06*'Oil and Gas Prices'!$C$18</f>
        <v>8601.7374666666674</v>
      </c>
      <c r="DH328" s="284">
        <f>DE328*(12/18)*'Oil and Gas Prices'!$C$4</f>
        <v>61229.999999999993</v>
      </c>
      <c r="DI328" s="284">
        <f>DG328+DH328</f>
        <v>69831.737466666658</v>
      </c>
      <c r="DJ328" s="57">
        <f>(DG328+DH328)/(DA328+DB328)</f>
        <v>13966.347493333331</v>
      </c>
      <c r="DK328" s="319"/>
    </row>
    <row r="329" spans="1:115" x14ac:dyDescent="0.25">
      <c r="A329" t="s">
        <v>1779</v>
      </c>
      <c r="B329" t="s">
        <v>1780</v>
      </c>
      <c r="D329" t="s">
        <v>1228</v>
      </c>
      <c r="E329" t="s">
        <v>80</v>
      </c>
      <c r="F329">
        <v>78624</v>
      </c>
      <c r="G329" t="s">
        <v>62</v>
      </c>
      <c r="I329">
        <v>245</v>
      </c>
      <c r="J329" t="s">
        <v>89</v>
      </c>
      <c r="K329" t="s">
        <v>4133</v>
      </c>
      <c r="L329" t="s">
        <v>149</v>
      </c>
      <c r="M329">
        <v>10</v>
      </c>
      <c r="N329" t="s">
        <v>1781</v>
      </c>
      <c r="O329" t="s">
        <v>1782</v>
      </c>
      <c r="Q329" t="s">
        <v>1783</v>
      </c>
      <c r="R329" t="s">
        <v>83</v>
      </c>
      <c r="S329" t="s">
        <v>214</v>
      </c>
      <c r="T329" t="s">
        <v>1784</v>
      </c>
      <c r="U329" t="s">
        <v>62</v>
      </c>
      <c r="V329">
        <v>5057463671</v>
      </c>
      <c r="W329" s="1">
        <v>280000</v>
      </c>
      <c r="X329">
        <v>4</v>
      </c>
      <c r="Y329">
        <v>4</v>
      </c>
      <c r="Z329">
        <v>1930</v>
      </c>
      <c r="AA329" t="s">
        <v>70</v>
      </c>
      <c r="AB329" t="s">
        <v>1785</v>
      </c>
      <c r="AC329" t="s">
        <v>483</v>
      </c>
      <c r="AD329" t="s">
        <v>99</v>
      </c>
      <c r="AE329">
        <v>1311</v>
      </c>
      <c r="AF329" t="s">
        <v>100</v>
      </c>
      <c r="AI329">
        <v>13110101</v>
      </c>
      <c r="AJ329" t="s">
        <v>102</v>
      </c>
      <c r="AM329">
        <v>211120</v>
      </c>
      <c r="AN329" t="s">
        <v>104</v>
      </c>
      <c r="AQ329" t="s">
        <v>75</v>
      </c>
      <c r="AT329" t="s">
        <v>76</v>
      </c>
      <c r="BF329">
        <v>0</v>
      </c>
      <c r="BG329">
        <v>0</v>
      </c>
      <c r="CK329" s="19">
        <f>IF(BQ329&gt;0,BQ329,W329)</f>
        <v>280000</v>
      </c>
      <c r="CL329" s="20">
        <f>IF(BS329&gt;0,BS329,Y329)</f>
        <v>4</v>
      </c>
      <c r="CM329" s="34">
        <f>IF(CG329&gt;0,CG329,AM329)</f>
        <v>211120</v>
      </c>
      <c r="CN329" s="80">
        <f>IF($BH329="",1,COUNTIF($BH$3:$BH329,$BH329))</f>
        <v>1</v>
      </c>
      <c r="CP329" t="str">
        <f>IF($K329="Standard Match","Match",IF($K329="Name Only Match",IF($CO329="Yes","Match","Name Only Match"),"No Match"))</f>
        <v>Match</v>
      </c>
      <c r="CQ329" s="35" t="str">
        <f>IF(AND(CP329="Match",CK329&gt;0,CL329&gt;0),"Y","N")</f>
        <v>Y</v>
      </c>
      <c r="CS329" t="str">
        <f>IF($CQ329="Y",VLOOKUP($CM329,'SBA Size Standards'!$B$3:$G$57,MATCH('SBA Size Standards'!$G$3,'SBA Size Standards'!$B$3:$G$3,0),FALSE),"")</f>
        <v>Employment</v>
      </c>
      <c r="CT329" s="60" t="str">
        <f>IF(CQ329="Y",IF($CS329="Employment","N/A",VLOOKUP($CM329,'SBA Size Standards'!$B$3:$G$57,MATCH('SBA Size Standards'!$E$3,'SBA Size Standards'!$B$3:$G$3,0),FALSE)),"")</f>
        <v>N/A</v>
      </c>
      <c r="CU329" s="86">
        <f>IF($CQ329="Y",IF($CS329="Revenue","N/A",VLOOKUP($CM329,'SBA Size Standards'!$B$3:$G$57,MATCH('SBA Size Standards'!$F$3,'SBA Size Standards'!$B$3:$G$3,0),FALSE)),"")</f>
        <v>1250</v>
      </c>
      <c r="CV329" t="str">
        <f>IF($CQ329="Y",IF(OR(AND($CS329="Employment",$CL329&lt;$CU329),AND($CS329="Revenue",$CK329&lt;$CT329)),"YES","NO"),"")</f>
        <v>YES</v>
      </c>
      <c r="CW329" s="90" t="str">
        <f>IF($CQ329="Y",INDEX('SBA Size Standards'!$N$3:$N$12,MATCH($CK329,'SBA Size Standards'!$O$3:$O$12,1)),"")</f>
        <v>$100,001 - $500,000</v>
      </c>
      <c r="CX329" s="122" t="s">
        <v>4654</v>
      </c>
      <c r="CY329" s="122">
        <f>INDEX('NM O&amp;G Production'!$P$3:$P$537,MATCH(CX329,'NM O&amp;G Production'!$Q$3:$Q$537,0))</f>
        <v>245</v>
      </c>
      <c r="CZ329" s="122" t="str">
        <f>INDEX('NM O&amp;G Production'!$O$3:$O$537,MATCH(CY329,'NM O&amp;G Production'!$P$3:$P$537,0))</f>
        <v>Yes</v>
      </c>
      <c r="DA329" s="127">
        <f>INDEX('NM O&amp;G Production'!$K$3:$O$537,MATCH($CY329,'NM O&amp;G Production'!$P$3:$P$537,0),MATCH(DA$2,'NM O&amp;G Production'!$K$2:$O$2,0))</f>
        <v>0</v>
      </c>
      <c r="DB329" s="127">
        <f>INDEX('NM O&amp;G Production'!$K$3:$O$537,MATCH($CY329,'NM O&amp;G Production'!$P$3:$P$537,0),MATCH(DB$2,'NM O&amp;G Production'!$K$2:$O$2,0))</f>
        <v>13</v>
      </c>
      <c r="DC329" s="127">
        <f>DA329+DB329</f>
        <v>13</v>
      </c>
      <c r="DD329" s="127">
        <f>INDEX('NM O&amp;G Production'!$K$3:$O$537,MATCH($CY329,'NM O&amp;G Production'!$P$3:$P$537,0),MATCH(DD$2,'NM O&amp;G Production'!$K$2:$O$2,0))</f>
        <v>0</v>
      </c>
      <c r="DE329" s="127">
        <f>INDEX('NM O&amp;G Production'!$K$3:$O$537,MATCH($CY329,'NM O&amp;G Production'!$P$3:$P$537,0),MATCH(DE$2,'NM O&amp;G Production'!$K$2:$O$2,0))</f>
        <v>3730</v>
      </c>
      <c r="DF329" s="258">
        <f>CK329/(DB329+DA329)</f>
        <v>21538.461538461539</v>
      </c>
      <c r="DG329" s="57">
        <f>DD329*(12/18)*1.06*'Oil and Gas Prices'!$C$18</f>
        <v>0</v>
      </c>
      <c r="DH329" s="284">
        <f>DE329*(12/18)*'Oil and Gas Prices'!$C$4</f>
        <v>111900</v>
      </c>
      <c r="DI329" s="284">
        <f>DG329+DH329</f>
        <v>111900</v>
      </c>
      <c r="DJ329" s="57">
        <f>(DG329+DH329)/(DA329+DB329)</f>
        <v>8607.6923076923085</v>
      </c>
      <c r="DK329" s="318"/>
    </row>
    <row r="330" spans="1:115" x14ac:dyDescent="0.25">
      <c r="A330" t="s">
        <v>2927</v>
      </c>
      <c r="B330" t="s">
        <v>2928</v>
      </c>
      <c r="D330" t="s">
        <v>153</v>
      </c>
      <c r="E330" t="s">
        <v>80</v>
      </c>
      <c r="F330">
        <v>79701</v>
      </c>
      <c r="G330" t="s">
        <v>62</v>
      </c>
      <c r="I330">
        <v>426</v>
      </c>
      <c r="J330" t="s">
        <v>63</v>
      </c>
      <c r="K330" t="s">
        <v>4133</v>
      </c>
      <c r="L330" t="s">
        <v>113</v>
      </c>
      <c r="M330">
        <v>8</v>
      </c>
      <c r="N330" t="s">
        <v>2929</v>
      </c>
      <c r="O330" t="s">
        <v>2930</v>
      </c>
      <c r="Q330" t="s">
        <v>2931</v>
      </c>
      <c r="R330" t="s">
        <v>153</v>
      </c>
      <c r="S330" t="s">
        <v>94</v>
      </c>
      <c r="T330" t="s">
        <v>2932</v>
      </c>
      <c r="U330" t="s">
        <v>62</v>
      </c>
      <c r="V330">
        <v>4326853602</v>
      </c>
      <c r="W330" s="1">
        <v>280000</v>
      </c>
      <c r="X330">
        <v>3</v>
      </c>
      <c r="Y330">
        <v>3</v>
      </c>
      <c r="Z330">
        <v>1998</v>
      </c>
      <c r="AA330" t="s">
        <v>70</v>
      </c>
      <c r="AB330" t="s">
        <v>2933</v>
      </c>
      <c r="AC330" t="s">
        <v>2934</v>
      </c>
      <c r="AD330" t="s">
        <v>71</v>
      </c>
      <c r="AE330">
        <v>1389</v>
      </c>
      <c r="AF330" t="s">
        <v>72</v>
      </c>
      <c r="AI330">
        <v>13899912</v>
      </c>
      <c r="AJ330" t="s">
        <v>426</v>
      </c>
      <c r="AM330">
        <v>213112</v>
      </c>
      <c r="AN330" t="s">
        <v>74</v>
      </c>
      <c r="AQ330" t="s">
        <v>75</v>
      </c>
      <c r="AT330" t="s">
        <v>76</v>
      </c>
      <c r="BF330">
        <v>0</v>
      </c>
      <c r="BG330">
        <v>0</v>
      </c>
      <c r="CK330" s="19">
        <f>IF(BQ330&gt;0,BQ330,W330)</f>
        <v>280000</v>
      </c>
      <c r="CL330" s="20">
        <f>IF(BS330&gt;0,BS330,Y330)</f>
        <v>3</v>
      </c>
      <c r="CM330" s="34">
        <f>IF(CG330&gt;0,CG330,AM330)</f>
        <v>213112</v>
      </c>
      <c r="CN330" s="80">
        <f>IF($BH330="",1,COUNTIF($BH$3:$BH330,$BH330))</f>
        <v>1</v>
      </c>
      <c r="CP330" t="str">
        <f>IF($K330="Standard Match","Match",IF($K330="Name Only Match",IF($CO330="Yes","Match","Name Only Match"),"No Match"))</f>
        <v>Match</v>
      </c>
      <c r="CQ330" s="35" t="str">
        <f>IF(AND(CP330="Match",CK330&gt;0,CL330&gt;0),"Y","N")</f>
        <v>Y</v>
      </c>
      <c r="CS330" t="str">
        <f>IF($CQ330="Y",VLOOKUP($CM330,'SBA Size Standards'!$B$3:$G$57,MATCH('SBA Size Standards'!$G$3,'SBA Size Standards'!$B$3:$G$3,0),FALSE),"")</f>
        <v>Revenue</v>
      </c>
      <c r="CT330" s="60">
        <f>IF(CQ330="Y",IF($CS330="Employment","N/A",VLOOKUP($CM330,'SBA Size Standards'!$B$3:$G$57,MATCH('SBA Size Standards'!$E$3,'SBA Size Standards'!$B$3:$G$3,0),FALSE)),"")</f>
        <v>41500000</v>
      </c>
      <c r="CU330" s="86" t="str">
        <f>IF($CQ330="Y",IF($CS330="Revenue","N/A",VLOOKUP($CM330,'SBA Size Standards'!$B$3:$G$57,MATCH('SBA Size Standards'!$F$3,'SBA Size Standards'!$B$3:$G$3,0),FALSE)),"")</f>
        <v>N/A</v>
      </c>
      <c r="CV330" t="str">
        <f>IF($CQ330="Y",IF(OR(AND($CS330="Employment",$CL330&lt;$CU330),AND($CS330="Revenue",$CK330&lt;$CT330)),"YES","NO"),"")</f>
        <v>YES</v>
      </c>
      <c r="CW330" s="90" t="str">
        <f>IF($CQ330="Y",INDEX('SBA Size Standards'!$N$3:$N$12,MATCH($CK330,'SBA Size Standards'!$O$3:$O$12,1)),"")</f>
        <v>$100,001 - $500,000</v>
      </c>
      <c r="CX330" s="122" t="s">
        <v>4901</v>
      </c>
      <c r="CY330" s="122">
        <f>INDEX('NM O&amp;G Production'!$P$3:$P$537,MATCH(CX330,'NM O&amp;G Production'!$Q$3:$Q$537,0))</f>
        <v>426</v>
      </c>
      <c r="CZ330" s="122" t="str">
        <f>INDEX('NM O&amp;G Production'!$O$3:$O$537,MATCH(CY330,'NM O&amp;G Production'!$P$3:$P$537,0))</f>
        <v>Yes</v>
      </c>
      <c r="DA330" s="127">
        <f>INDEX('NM O&amp;G Production'!$K$3:$O$537,MATCH($CY330,'NM O&amp;G Production'!$P$3:$P$537,0),MATCH(DA$2,'NM O&amp;G Production'!$K$2:$O$2,0))</f>
        <v>2</v>
      </c>
      <c r="DB330" s="127">
        <f>INDEX('NM O&amp;G Production'!$K$3:$O$537,MATCH($CY330,'NM O&amp;G Production'!$P$3:$P$537,0),MATCH(DB$2,'NM O&amp;G Production'!$K$2:$O$2,0))</f>
        <v>143</v>
      </c>
      <c r="DC330" s="127">
        <f>DA330+DB330</f>
        <v>145</v>
      </c>
      <c r="DD330" s="127">
        <f>INDEX('NM O&amp;G Production'!$K$3:$O$537,MATCH($CY330,'NM O&amp;G Production'!$P$3:$P$537,0),MATCH(DD$2,'NM O&amp;G Production'!$K$2:$O$2,0))</f>
        <v>280481</v>
      </c>
      <c r="DE330" s="127">
        <f>INDEX('NM O&amp;G Production'!$K$3:$O$537,MATCH($CY330,'NM O&amp;G Production'!$P$3:$P$537,0),MATCH(DE$2,'NM O&amp;G Production'!$K$2:$O$2,0))</f>
        <v>0</v>
      </c>
      <c r="DF330" s="258">
        <f>CK330/(DB330+DA330)</f>
        <v>1931.0344827586207</v>
      </c>
      <c r="DG330" s="57">
        <f>DD330*(12/18)*1.06*'Oil and Gas Prices'!$C$18</f>
        <v>473713.71026666672</v>
      </c>
      <c r="DH330" s="284">
        <f>DE330*(12/18)*'Oil and Gas Prices'!$C$4</f>
        <v>0</v>
      </c>
      <c r="DI330" s="284">
        <f>DG330+DH330</f>
        <v>473713.71026666672</v>
      </c>
      <c r="DJ330" s="57">
        <f>(DG330+DH330)/(DA330+DB330)</f>
        <v>3266.9911052873567</v>
      </c>
      <c r="DK330" s="318"/>
    </row>
    <row r="331" spans="1:115" x14ac:dyDescent="0.25">
      <c r="A331" t="s">
        <v>1527</v>
      </c>
      <c r="B331" t="s">
        <v>1528</v>
      </c>
      <c r="D331" t="s">
        <v>83</v>
      </c>
      <c r="E331" t="s">
        <v>84</v>
      </c>
      <c r="F331">
        <v>88210</v>
      </c>
      <c r="G331" t="s">
        <v>62</v>
      </c>
      <c r="I331">
        <v>208</v>
      </c>
      <c r="J331" t="s">
        <v>63</v>
      </c>
      <c r="K331" t="s">
        <v>4133</v>
      </c>
      <c r="L331" t="s">
        <v>64</v>
      </c>
      <c r="M331">
        <v>10</v>
      </c>
      <c r="N331" t="s">
        <v>1529</v>
      </c>
      <c r="O331" t="s">
        <v>1530</v>
      </c>
      <c r="Q331" t="s">
        <v>1531</v>
      </c>
      <c r="R331" t="s">
        <v>83</v>
      </c>
      <c r="S331" t="s">
        <v>214</v>
      </c>
      <c r="T331" t="s">
        <v>1532</v>
      </c>
      <c r="U331" t="s">
        <v>62</v>
      </c>
      <c r="V331">
        <v>5207477900</v>
      </c>
      <c r="W331" s="1">
        <v>273779</v>
      </c>
      <c r="X331">
        <v>4</v>
      </c>
      <c r="Y331">
        <v>4</v>
      </c>
      <c r="Z331">
        <v>2010</v>
      </c>
      <c r="AA331" t="s">
        <v>70</v>
      </c>
      <c r="AB331" t="s">
        <v>1533</v>
      </c>
      <c r="AC331" t="s">
        <v>483</v>
      </c>
      <c r="AD331" t="s">
        <v>656</v>
      </c>
      <c r="AE331">
        <v>8748</v>
      </c>
      <c r="AF331" t="s">
        <v>657</v>
      </c>
      <c r="AI331">
        <v>87489904</v>
      </c>
      <c r="AJ331" t="s">
        <v>934</v>
      </c>
      <c r="AM331">
        <v>541690</v>
      </c>
      <c r="AN331" t="s">
        <v>935</v>
      </c>
      <c r="AQ331" t="s">
        <v>75</v>
      </c>
      <c r="AT331" t="s">
        <v>76</v>
      </c>
      <c r="BF331">
        <v>0</v>
      </c>
      <c r="BG331">
        <v>0</v>
      </c>
      <c r="CK331" s="19">
        <f>IF(BQ331&gt;0,BQ331,W331)</f>
        <v>273779</v>
      </c>
      <c r="CL331" s="20">
        <f>IF(BS331&gt;0,BS331,Y331)</f>
        <v>4</v>
      </c>
      <c r="CM331" s="34">
        <f>IF(CG331&gt;0,CG331,AM331)</f>
        <v>541690</v>
      </c>
      <c r="CN331" s="80">
        <f>IF($BH331="",1,COUNTIF($BH$3:$BH331,$BH331))</f>
        <v>1</v>
      </c>
      <c r="CP331" t="str">
        <f>IF($K331="Standard Match","Match",IF($K331="Name Only Match",IF($CO331="Yes","Match","Name Only Match"),"No Match"))</f>
        <v>Match</v>
      </c>
      <c r="CQ331" s="35" t="str">
        <f>IF(AND(CP331="Match",CK331&gt;0,CL331&gt;0),"Y","N")</f>
        <v>Y</v>
      </c>
      <c r="CS331" t="str">
        <f>IF($CQ331="Y",VLOOKUP($CM331,'SBA Size Standards'!$B$3:$G$57,MATCH('SBA Size Standards'!$G$3,'SBA Size Standards'!$B$3:$G$3,0),FALSE),"")</f>
        <v>Revenue</v>
      </c>
      <c r="CT331" s="60">
        <f>IF(CQ331="Y",IF($CS331="Employment","N/A",VLOOKUP($CM331,'SBA Size Standards'!$B$3:$G$57,MATCH('SBA Size Standards'!$E$3,'SBA Size Standards'!$B$3:$G$3,0),FALSE)),"")</f>
        <v>16500000</v>
      </c>
      <c r="CU331" s="86" t="str">
        <f>IF($CQ331="Y",IF($CS331="Revenue","N/A",VLOOKUP($CM331,'SBA Size Standards'!$B$3:$G$57,MATCH('SBA Size Standards'!$F$3,'SBA Size Standards'!$B$3:$G$3,0),FALSE)),"")</f>
        <v>N/A</v>
      </c>
      <c r="CV331" t="str">
        <f>IF($CQ331="Y",IF(OR(AND($CS331="Employment",$CL331&lt;$CU331),AND($CS331="Revenue",$CK331&lt;$CT331)),"YES","NO"),"")</f>
        <v>YES</v>
      </c>
      <c r="CW331" s="90" t="str">
        <f>IF($CQ331="Y",INDEX('SBA Size Standards'!$N$3:$N$12,MATCH($CK331,'SBA Size Standards'!$O$3:$O$12,1)),"")</f>
        <v>$100,001 - $500,000</v>
      </c>
      <c r="CX331" s="122" t="s">
        <v>4632</v>
      </c>
      <c r="CY331" s="122">
        <f>INDEX('NM O&amp;G Production'!$P$3:$P$537,MATCH(CX331,'NM O&amp;G Production'!$Q$3:$Q$537,0))</f>
        <v>208</v>
      </c>
      <c r="CZ331" s="122" t="str">
        <f>INDEX('NM O&amp;G Production'!$O$3:$O$537,MATCH(CY331,'NM O&amp;G Production'!$P$3:$P$537,0))</f>
        <v>No</v>
      </c>
      <c r="DA331" s="127">
        <f>INDEX('NM O&amp;G Production'!$K$3:$O$537,MATCH($CY331,'NM O&amp;G Production'!$P$3:$P$537,0),MATCH(DA$2,'NM O&amp;G Production'!$K$2:$O$2,0))</f>
        <v>0</v>
      </c>
      <c r="DB331" s="127">
        <f>INDEX('NM O&amp;G Production'!$K$3:$O$537,MATCH($CY331,'NM O&amp;G Production'!$P$3:$P$537,0),MATCH(DB$2,'NM O&amp;G Production'!$K$2:$O$2,0))</f>
        <v>0</v>
      </c>
      <c r="DC331" s="127"/>
      <c r="DD331" s="127">
        <f>INDEX('NM O&amp;G Production'!$K$3:$O$537,MATCH($CY331,'NM O&amp;G Production'!$P$3:$P$537,0),MATCH(DD$2,'NM O&amp;G Production'!$K$2:$O$2,0))</f>
        <v>0</v>
      </c>
      <c r="DE331" s="127">
        <f>INDEX('NM O&amp;G Production'!$K$3:$O$537,MATCH($CY331,'NM O&amp;G Production'!$P$3:$P$537,0),MATCH(DE$2,'NM O&amp;G Production'!$K$2:$O$2,0))</f>
        <v>0</v>
      </c>
      <c r="DF331" s="258" t="e">
        <f>CK331/(DB331+DA331)</f>
        <v>#DIV/0!</v>
      </c>
      <c r="DG331" s="57">
        <f>DD331*(12/18)*1.06*'Oil and Gas Prices'!$C$18</f>
        <v>0</v>
      </c>
      <c r="DH331" s="284">
        <f>DE331*(12/18)*'Oil and Gas Prices'!$C$4</f>
        <v>0</v>
      </c>
      <c r="DI331" s="284"/>
      <c r="DJ331" s="57" t="e">
        <f>(DG331+DH331)/(DA331+DB331)</f>
        <v>#DIV/0!</v>
      </c>
      <c r="DK331" s="18" t="e">
        <f>CK331/DI331</f>
        <v>#DIV/0!</v>
      </c>
    </row>
    <row r="332" spans="1:115" x14ac:dyDescent="0.25">
      <c r="A332" t="s">
        <v>2088</v>
      </c>
      <c r="B332" t="s">
        <v>2089</v>
      </c>
      <c r="D332" t="s">
        <v>153</v>
      </c>
      <c r="E332" t="s">
        <v>80</v>
      </c>
      <c r="F332">
        <v>79701</v>
      </c>
      <c r="G332" t="s">
        <v>62</v>
      </c>
      <c r="I332">
        <v>294</v>
      </c>
      <c r="J332" t="s">
        <v>63</v>
      </c>
      <c r="K332" t="s">
        <v>4133</v>
      </c>
      <c r="L332" t="s">
        <v>64</v>
      </c>
      <c r="M332">
        <v>10</v>
      </c>
      <c r="N332" t="s">
        <v>2090</v>
      </c>
      <c r="O332" t="s">
        <v>2091</v>
      </c>
      <c r="Q332" t="s">
        <v>2092</v>
      </c>
      <c r="R332" t="s">
        <v>153</v>
      </c>
      <c r="S332" t="s">
        <v>94</v>
      </c>
      <c r="T332" t="s">
        <v>2093</v>
      </c>
      <c r="U332" t="s">
        <v>62</v>
      </c>
      <c r="V332">
        <v>4326822500</v>
      </c>
      <c r="W332" s="1">
        <v>272185</v>
      </c>
      <c r="X332">
        <v>3</v>
      </c>
      <c r="Y332">
        <v>3</v>
      </c>
      <c r="Z332">
        <v>2011</v>
      </c>
      <c r="AA332" t="s">
        <v>70</v>
      </c>
      <c r="AB332" t="s">
        <v>2094</v>
      </c>
      <c r="AC332" t="s">
        <v>145</v>
      </c>
      <c r="AD332" t="s">
        <v>99</v>
      </c>
      <c r="AE332">
        <v>1311</v>
      </c>
      <c r="AF332" t="s">
        <v>100</v>
      </c>
      <c r="AI332">
        <v>13110000</v>
      </c>
      <c r="AJ332" t="s">
        <v>276</v>
      </c>
      <c r="AM332">
        <v>211120</v>
      </c>
      <c r="AN332" t="s">
        <v>104</v>
      </c>
      <c r="AQ332" t="s">
        <v>75</v>
      </c>
      <c r="AT332" t="s">
        <v>76</v>
      </c>
      <c r="BF332">
        <v>0</v>
      </c>
      <c r="BG332">
        <v>0</v>
      </c>
      <c r="CK332" s="19">
        <f>IF(BQ332&gt;0,BQ332,W332)</f>
        <v>272185</v>
      </c>
      <c r="CL332" s="20">
        <f>IF(BS332&gt;0,BS332,Y332)</f>
        <v>3</v>
      </c>
      <c r="CM332" s="34">
        <f>IF(CG332&gt;0,CG332,AM332)</f>
        <v>211120</v>
      </c>
      <c r="CN332" s="80">
        <f>IF($BH332="",1,COUNTIF($BH$3:$BH332,$BH332))</f>
        <v>1</v>
      </c>
      <c r="CP332" t="str">
        <f>IF($K332="Standard Match","Match",IF($K332="Name Only Match",IF($CO332="Yes","Match","Name Only Match"),"No Match"))</f>
        <v>Match</v>
      </c>
      <c r="CQ332" s="35" t="str">
        <f>IF(AND(CP332="Match",CK332&gt;0,CL332&gt;0),"Y","N")</f>
        <v>Y</v>
      </c>
      <c r="CS332" t="str">
        <f>IF($CQ332="Y",VLOOKUP($CM332,'SBA Size Standards'!$B$3:$G$57,MATCH('SBA Size Standards'!$G$3,'SBA Size Standards'!$B$3:$G$3,0),FALSE),"")</f>
        <v>Employment</v>
      </c>
      <c r="CT332" s="60" t="str">
        <f>IF(CQ332="Y",IF($CS332="Employment","N/A",VLOOKUP($CM332,'SBA Size Standards'!$B$3:$G$57,MATCH('SBA Size Standards'!$E$3,'SBA Size Standards'!$B$3:$G$3,0),FALSE)),"")</f>
        <v>N/A</v>
      </c>
      <c r="CU332" s="86">
        <f>IF($CQ332="Y",IF($CS332="Revenue","N/A",VLOOKUP($CM332,'SBA Size Standards'!$B$3:$G$57,MATCH('SBA Size Standards'!$F$3,'SBA Size Standards'!$B$3:$G$3,0),FALSE)),"")</f>
        <v>1250</v>
      </c>
      <c r="CV332" t="str">
        <f>IF($CQ332="Y",IF(OR(AND($CS332="Employment",$CL332&lt;$CU332),AND($CS332="Revenue",$CK332&lt;$CT332)),"YES","NO"),"")</f>
        <v>YES</v>
      </c>
      <c r="CW332" s="90" t="str">
        <f>IF($CQ332="Y",INDEX('SBA Size Standards'!$N$3:$N$12,MATCH($CK332,'SBA Size Standards'!$O$3:$O$12,1)),"")</f>
        <v>$100,001 - $500,000</v>
      </c>
      <c r="CX332" s="122" t="s">
        <v>4673</v>
      </c>
      <c r="CY332" s="122">
        <f>INDEX('NM O&amp;G Production'!$P$3:$P$537,MATCH(CX332,'NM O&amp;G Production'!$Q$3:$Q$537,0))</f>
        <v>294</v>
      </c>
      <c r="CZ332" s="122" t="str">
        <f>INDEX('NM O&amp;G Production'!$O$3:$O$537,MATCH(CY332,'NM O&amp;G Production'!$P$3:$P$537,0))</f>
        <v>Yes</v>
      </c>
      <c r="DA332" s="127">
        <f>INDEX('NM O&amp;G Production'!$K$3:$O$537,MATCH($CY332,'NM O&amp;G Production'!$P$3:$P$537,0),MATCH(DA$2,'NM O&amp;G Production'!$K$2:$O$2,0))</f>
        <v>0</v>
      </c>
      <c r="DB332" s="127">
        <f>INDEX('NM O&amp;G Production'!$K$3:$O$537,MATCH($CY332,'NM O&amp;G Production'!$P$3:$P$537,0),MATCH(DB$2,'NM O&amp;G Production'!$K$2:$O$2,0))</f>
        <v>14</v>
      </c>
      <c r="DC332" s="127">
        <f>DA332+DB332</f>
        <v>14</v>
      </c>
      <c r="DD332" s="127">
        <f>INDEX('NM O&amp;G Production'!$K$3:$O$537,MATCH($CY332,'NM O&amp;G Production'!$P$3:$P$537,0),MATCH(DD$2,'NM O&amp;G Production'!$K$2:$O$2,0))</f>
        <v>1569</v>
      </c>
      <c r="DE332" s="127">
        <f>INDEX('NM O&amp;G Production'!$K$3:$O$537,MATCH($CY332,'NM O&amp;G Production'!$P$3:$P$537,0),MATCH(DE$2,'NM O&amp;G Production'!$K$2:$O$2,0))</f>
        <v>15508</v>
      </c>
      <c r="DF332" s="258">
        <f>CK332/(DB332+DA332)</f>
        <v>19441.785714285714</v>
      </c>
      <c r="DG332" s="57">
        <f>DD332*(12/18)*1.06*'Oil and Gas Prices'!$C$18</f>
        <v>2649.9364</v>
      </c>
      <c r="DH332" s="284">
        <f>DE332*(12/18)*'Oil and Gas Prices'!$C$4</f>
        <v>465240</v>
      </c>
      <c r="DI332" s="284">
        <f>DG332+DH332</f>
        <v>467889.93640000001</v>
      </c>
      <c r="DJ332" s="57">
        <f>(DG332+DH332)/(DA332+DB332)</f>
        <v>33420.709742857143</v>
      </c>
      <c r="DK332" s="318"/>
    </row>
    <row r="333" spans="1:115" x14ac:dyDescent="0.25">
      <c r="A333" t="s">
        <v>3620</v>
      </c>
      <c r="B333" t="s">
        <v>3621</v>
      </c>
      <c r="D333" t="s">
        <v>1265</v>
      </c>
      <c r="E333" t="s">
        <v>84</v>
      </c>
      <c r="F333">
        <v>88260</v>
      </c>
      <c r="G333" t="s">
        <v>62</v>
      </c>
      <c r="I333">
        <v>535</v>
      </c>
      <c r="J333" t="s">
        <v>63</v>
      </c>
      <c r="K333" t="s">
        <v>4133</v>
      </c>
      <c r="L333" t="s">
        <v>113</v>
      </c>
      <c r="M333">
        <v>8</v>
      </c>
      <c r="N333" t="s">
        <v>3622</v>
      </c>
      <c r="O333" s="21" t="s">
        <v>3623</v>
      </c>
      <c r="Q333" t="s">
        <v>3624</v>
      </c>
      <c r="R333" t="s">
        <v>1265</v>
      </c>
      <c r="S333" t="s">
        <v>214</v>
      </c>
      <c r="T333" t="s">
        <v>3625</v>
      </c>
      <c r="U333" t="s">
        <v>62</v>
      </c>
      <c r="V333">
        <v>5753967214</v>
      </c>
      <c r="W333" s="1">
        <v>268983</v>
      </c>
      <c r="X333">
        <v>3</v>
      </c>
      <c r="Y333">
        <v>3</v>
      </c>
      <c r="Z333">
        <v>2004</v>
      </c>
      <c r="AA333" t="s">
        <v>70</v>
      </c>
      <c r="AB333" t="s">
        <v>3626</v>
      </c>
      <c r="AC333" t="s">
        <v>98</v>
      </c>
      <c r="AD333" t="s">
        <v>370</v>
      </c>
      <c r="AE333">
        <v>5983</v>
      </c>
      <c r="AF333" t="s">
        <v>371</v>
      </c>
      <c r="AI333">
        <v>59830000</v>
      </c>
      <c r="AJ333" t="s">
        <v>370</v>
      </c>
      <c r="AM333">
        <v>454310</v>
      </c>
      <c r="AN333" t="s">
        <v>193</v>
      </c>
      <c r="AQ333" t="s">
        <v>75</v>
      </c>
      <c r="AT333" t="s">
        <v>76</v>
      </c>
      <c r="BF333">
        <v>0</v>
      </c>
      <c r="BG333">
        <v>0</v>
      </c>
      <c r="CK333" s="19">
        <f>IF(BQ333&gt;0,BQ333,W333)</f>
        <v>268983</v>
      </c>
      <c r="CL333" s="20">
        <f>IF(BS333&gt;0,BS333,Y333)</f>
        <v>3</v>
      </c>
      <c r="CM333" s="34">
        <f>IF(CG333&gt;0,CG333,AM333)</f>
        <v>454310</v>
      </c>
      <c r="CN333" s="80">
        <f>IF($BH333="",1,COUNTIF($BH$3:$BH333,$BH333))</f>
        <v>1</v>
      </c>
      <c r="CP333" t="str">
        <f>IF($K333="Standard Match","Match",IF($K333="Name Only Match",IF($CO333="Yes","Match","Name Only Match"),"No Match"))</f>
        <v>Match</v>
      </c>
      <c r="CQ333" s="35" t="str">
        <f>IF(AND(CP333="Match",CK333&gt;0,CL333&gt;0),"Y","N")</f>
        <v>Y</v>
      </c>
      <c r="CS333" t="str">
        <f>IF($CQ333="Y",VLOOKUP($CM333,'SBA Size Standards'!$B$3:$G$57,MATCH('SBA Size Standards'!$G$3,'SBA Size Standards'!$B$3:$G$3,0),FALSE),"")</f>
        <v>Employment</v>
      </c>
      <c r="CT333" s="60" t="str">
        <f>IF(CQ333="Y",IF($CS333="Employment","N/A",VLOOKUP($CM333,'SBA Size Standards'!$B$3:$G$57,MATCH('SBA Size Standards'!$E$3,'SBA Size Standards'!$B$3:$G$3,0),FALSE)),"")</f>
        <v>N/A</v>
      </c>
      <c r="CU333" s="86">
        <f>IF($CQ333="Y",IF($CS333="Revenue","N/A",VLOOKUP($CM333,'SBA Size Standards'!$B$3:$G$57,MATCH('SBA Size Standards'!$F$3,'SBA Size Standards'!$B$3:$G$3,0),FALSE)),"")</f>
        <v>100</v>
      </c>
      <c r="CV333" t="str">
        <f>IF($CQ333="Y",IF(OR(AND($CS333="Employment",$CL333&lt;$CU333),AND($CS333="Revenue",$CK333&lt;$CT333)),"YES","NO"),"")</f>
        <v>YES</v>
      </c>
      <c r="CW333" s="90" t="str">
        <f>IF($CQ333="Y",INDEX('SBA Size Standards'!$N$3:$N$12,MATCH($CK333,'SBA Size Standards'!$O$3:$O$12,1)),"")</f>
        <v>$100,001 - $500,000</v>
      </c>
      <c r="CX333" s="122" t="s">
        <v>4926</v>
      </c>
      <c r="CY333" s="122">
        <f>INDEX('NM O&amp;G Production'!$P$3:$P$537,MATCH(CX333,'NM O&amp;G Production'!$Q$3:$Q$537,0))</f>
        <v>535</v>
      </c>
      <c r="CZ333" s="122" t="str">
        <f>INDEX('NM O&amp;G Production'!$O$3:$O$537,MATCH(CY333,'NM O&amp;G Production'!$P$3:$P$537,0))</f>
        <v>Yes</v>
      </c>
      <c r="DA333" s="127">
        <f>INDEX('NM O&amp;G Production'!$K$3:$O$537,MATCH($CY333,'NM O&amp;G Production'!$P$3:$P$537,0),MATCH(DA$2,'NM O&amp;G Production'!$K$2:$O$2,0))</f>
        <v>6</v>
      </c>
      <c r="DB333" s="127">
        <f>INDEX('NM O&amp;G Production'!$K$3:$O$537,MATCH($CY333,'NM O&amp;G Production'!$P$3:$P$537,0),MATCH(DB$2,'NM O&amp;G Production'!$K$2:$O$2,0))</f>
        <v>7</v>
      </c>
      <c r="DC333" s="127">
        <f>DA333+DB333</f>
        <v>13</v>
      </c>
      <c r="DD333" s="127">
        <f>INDEX('NM O&amp;G Production'!$K$3:$O$537,MATCH($CY333,'NM O&amp;G Production'!$P$3:$P$537,0),MATCH(DD$2,'NM O&amp;G Production'!$K$2:$O$2,0))</f>
        <v>13074</v>
      </c>
      <c r="DE333" s="127">
        <f>INDEX('NM O&amp;G Production'!$K$3:$O$537,MATCH($CY333,'NM O&amp;G Production'!$P$3:$P$537,0),MATCH(DE$2,'NM O&amp;G Production'!$K$2:$O$2,0))</f>
        <v>1402</v>
      </c>
      <c r="DF333" s="258">
        <f>CK333/(DB333+DA333)</f>
        <v>20691</v>
      </c>
      <c r="DG333" s="57">
        <f>DD333*(12/18)*1.06*'Oil and Gas Prices'!$C$18</f>
        <v>22081.114400000002</v>
      </c>
      <c r="DH333" s="284">
        <f>DE333*(12/18)*'Oil and Gas Prices'!$C$4</f>
        <v>42060</v>
      </c>
      <c r="DI333" s="284">
        <f>DG333+DH333</f>
        <v>64141.114400000006</v>
      </c>
      <c r="DJ333" s="57">
        <f>(DG333+DH333)/(DA333+DB333)</f>
        <v>4933.9318769230777</v>
      </c>
      <c r="DK333" s="318"/>
    </row>
    <row r="334" spans="1:115" x14ac:dyDescent="0.25">
      <c r="A334" t="s">
        <v>2847</v>
      </c>
      <c r="B334" t="s">
        <v>2848</v>
      </c>
      <c r="D334" t="s">
        <v>153</v>
      </c>
      <c r="E334" t="s">
        <v>80</v>
      </c>
      <c r="F334">
        <v>79701</v>
      </c>
      <c r="G334" t="s">
        <v>62</v>
      </c>
      <c r="I334">
        <v>414</v>
      </c>
      <c r="J334" t="s">
        <v>63</v>
      </c>
      <c r="K334" t="s">
        <v>4133</v>
      </c>
      <c r="L334" t="s">
        <v>64</v>
      </c>
      <c r="M334">
        <v>10</v>
      </c>
      <c r="N334" t="s">
        <v>2849</v>
      </c>
      <c r="O334" t="s">
        <v>2850</v>
      </c>
      <c r="Q334" t="s">
        <v>2851</v>
      </c>
      <c r="R334" t="s">
        <v>153</v>
      </c>
      <c r="S334" t="s">
        <v>94</v>
      </c>
      <c r="T334" t="s">
        <v>2852</v>
      </c>
      <c r="U334" t="s">
        <v>62</v>
      </c>
      <c r="V334">
        <v>4322621105</v>
      </c>
      <c r="W334" s="1">
        <v>266383</v>
      </c>
      <c r="X334">
        <v>4</v>
      </c>
      <c r="Y334">
        <v>4</v>
      </c>
      <c r="Z334">
        <v>2016</v>
      </c>
      <c r="AA334" t="s">
        <v>70</v>
      </c>
      <c r="AB334" t="s">
        <v>2853</v>
      </c>
      <c r="AC334" t="s">
        <v>98</v>
      </c>
      <c r="AD334" t="s">
        <v>825</v>
      </c>
      <c r="AE334">
        <v>5172</v>
      </c>
      <c r="AF334" t="s">
        <v>826</v>
      </c>
      <c r="AI334">
        <v>51720000</v>
      </c>
      <c r="AJ334" t="s">
        <v>825</v>
      </c>
      <c r="AM334">
        <v>424720</v>
      </c>
      <c r="AN334" t="s">
        <v>827</v>
      </c>
      <c r="AQ334" t="s">
        <v>75</v>
      </c>
      <c r="AT334" t="s">
        <v>76</v>
      </c>
      <c r="BF334">
        <v>0</v>
      </c>
      <c r="BG334">
        <v>0</v>
      </c>
      <c r="CK334" s="19">
        <f>IF(BQ334&gt;0,BQ334,W334)</f>
        <v>266383</v>
      </c>
      <c r="CL334" s="20">
        <f>IF(BS334&gt;0,BS334,Y334)</f>
        <v>4</v>
      </c>
      <c r="CM334" s="34">
        <f>IF(CG334&gt;0,CG334,AM334)</f>
        <v>424720</v>
      </c>
      <c r="CN334" s="80">
        <f>IF($BH334="",1,COUNTIF($BH$3:$BH334,$BH334))</f>
        <v>1</v>
      </c>
      <c r="CP334" t="str">
        <f>IF($K334="Standard Match","Match",IF($K334="Name Only Match",IF($CO334="Yes","Match","Name Only Match"),"No Match"))</f>
        <v>Match</v>
      </c>
      <c r="CQ334" s="35" t="str">
        <f>IF(AND(CP334="Match",CK334&gt;0,CL334&gt;0),"Y","N")</f>
        <v>Y</v>
      </c>
      <c r="CS334" t="str">
        <f>IF($CQ334="Y",VLOOKUP($CM334,'SBA Size Standards'!$B$3:$G$57,MATCH('SBA Size Standards'!$G$3,'SBA Size Standards'!$B$3:$G$3,0),FALSE),"")</f>
        <v>Employment</v>
      </c>
      <c r="CT334" s="60" t="str">
        <f>IF(CQ334="Y",IF($CS334="Employment","N/A",VLOOKUP($CM334,'SBA Size Standards'!$B$3:$G$57,MATCH('SBA Size Standards'!$E$3,'SBA Size Standards'!$B$3:$G$3,0),FALSE)),"")</f>
        <v>N/A</v>
      </c>
      <c r="CU334" s="86">
        <f>IF($CQ334="Y",IF($CS334="Revenue","N/A",VLOOKUP($CM334,'SBA Size Standards'!$B$3:$G$57,MATCH('SBA Size Standards'!$F$3,'SBA Size Standards'!$B$3:$G$3,0),FALSE)),"")</f>
        <v>200</v>
      </c>
      <c r="CV334" t="str">
        <f>IF($CQ334="Y",IF(OR(AND($CS334="Employment",$CL334&lt;$CU334),AND($CS334="Revenue",$CK334&lt;$CT334)),"YES","NO"),"")</f>
        <v>YES</v>
      </c>
      <c r="CW334" s="90" t="str">
        <f>IF($CQ334="Y",INDEX('SBA Size Standards'!$N$3:$N$12,MATCH($CK334,'SBA Size Standards'!$O$3:$O$12,1)),"")</f>
        <v>$100,001 - $500,000</v>
      </c>
      <c r="CX334" s="122" t="s">
        <v>4733</v>
      </c>
      <c r="CY334" s="122">
        <f>INDEX('NM O&amp;G Production'!$P$3:$P$537,MATCH(CX334,'NM O&amp;G Production'!$Q$3:$Q$537,0))</f>
        <v>414</v>
      </c>
      <c r="CZ334" s="122" t="str">
        <f>INDEX('NM O&amp;G Production'!$O$3:$O$537,MATCH(CY334,'NM O&amp;G Production'!$P$3:$P$537,0))</f>
        <v>Yes</v>
      </c>
      <c r="DA334" s="127">
        <f>INDEX('NM O&amp;G Production'!$K$3:$O$537,MATCH($CY334,'NM O&amp;G Production'!$P$3:$P$537,0),MATCH(DA$2,'NM O&amp;G Production'!$K$2:$O$2,0))</f>
        <v>3</v>
      </c>
      <c r="DB334" s="127">
        <f>INDEX('NM O&amp;G Production'!$K$3:$O$537,MATCH($CY334,'NM O&amp;G Production'!$P$3:$P$537,0),MATCH(DB$2,'NM O&amp;G Production'!$K$2:$O$2,0))</f>
        <v>23</v>
      </c>
      <c r="DC334" s="127">
        <f>DA334+DB334</f>
        <v>26</v>
      </c>
      <c r="DD334" s="127">
        <f>INDEX('NM O&amp;G Production'!$K$3:$O$537,MATCH($CY334,'NM O&amp;G Production'!$P$3:$P$537,0),MATCH(DD$2,'NM O&amp;G Production'!$K$2:$O$2,0))</f>
        <v>0</v>
      </c>
      <c r="DE334" s="127">
        <f>INDEX('NM O&amp;G Production'!$K$3:$O$537,MATCH($CY334,'NM O&amp;G Production'!$P$3:$P$537,0),MATCH(DE$2,'NM O&amp;G Production'!$K$2:$O$2,0))</f>
        <v>8176</v>
      </c>
      <c r="DF334" s="258">
        <f>CK334/(DB334+DA334)</f>
        <v>10245.5</v>
      </c>
      <c r="DG334" s="57">
        <f>DD334*(12/18)*1.06*'Oil and Gas Prices'!$C$18</f>
        <v>0</v>
      </c>
      <c r="DH334" s="284">
        <f>DE334*(12/18)*'Oil and Gas Prices'!$C$4</f>
        <v>245279.99999999997</v>
      </c>
      <c r="DI334" s="284">
        <f>DG334+DH334</f>
        <v>245279.99999999997</v>
      </c>
      <c r="DJ334" s="57">
        <f>(DG334+DH334)/(DA334+DB334)</f>
        <v>9433.8461538461524</v>
      </c>
      <c r="DK334" s="318"/>
    </row>
    <row r="335" spans="1:115" x14ac:dyDescent="0.25">
      <c r="A335" t="s">
        <v>1508</v>
      </c>
      <c r="B335" t="s">
        <v>1509</v>
      </c>
      <c r="D335" t="s">
        <v>1510</v>
      </c>
      <c r="E335" t="s">
        <v>61</v>
      </c>
      <c r="F335">
        <v>80305</v>
      </c>
      <c r="G335" t="s">
        <v>62</v>
      </c>
      <c r="I335">
        <v>204</v>
      </c>
      <c r="J335" t="s">
        <v>63</v>
      </c>
      <c r="K335" t="s">
        <v>4133</v>
      </c>
      <c r="L335" t="s">
        <v>64</v>
      </c>
      <c r="M335">
        <v>10</v>
      </c>
      <c r="N335" t="s">
        <v>1511</v>
      </c>
      <c r="O335" t="s">
        <v>1512</v>
      </c>
      <c r="Q335" t="s">
        <v>1509</v>
      </c>
      <c r="R335" t="s">
        <v>1510</v>
      </c>
      <c r="S335" t="s">
        <v>68</v>
      </c>
      <c r="T335" t="s">
        <v>1513</v>
      </c>
      <c r="U335" t="s">
        <v>62</v>
      </c>
      <c r="V335">
        <v>3034944529</v>
      </c>
      <c r="W335" s="1">
        <v>265357</v>
      </c>
      <c r="X335">
        <v>2</v>
      </c>
      <c r="Y335">
        <v>2</v>
      </c>
      <c r="Z335">
        <v>1978</v>
      </c>
      <c r="AA335" t="s">
        <v>70</v>
      </c>
      <c r="AB335" t="s">
        <v>1514</v>
      </c>
      <c r="AC335" t="s">
        <v>98</v>
      </c>
      <c r="AD335" t="s">
        <v>99</v>
      </c>
      <c r="AE335">
        <v>1311</v>
      </c>
      <c r="AF335" t="s">
        <v>100</v>
      </c>
      <c r="AI335">
        <v>13110101</v>
      </c>
      <c r="AJ335" t="s">
        <v>102</v>
      </c>
      <c r="AM335">
        <v>211120</v>
      </c>
      <c r="AN335" t="s">
        <v>104</v>
      </c>
      <c r="AQ335" t="s">
        <v>75</v>
      </c>
      <c r="AT335" t="s">
        <v>76</v>
      </c>
      <c r="BF335">
        <v>0</v>
      </c>
      <c r="BG335">
        <v>0</v>
      </c>
      <c r="CK335" s="19">
        <f>IF(BQ335&gt;0,BQ335,W335)</f>
        <v>265357</v>
      </c>
      <c r="CL335" s="20">
        <f>IF(BS335&gt;0,BS335,Y335)</f>
        <v>2</v>
      </c>
      <c r="CM335" s="34">
        <f>IF(CG335&gt;0,CG335,AM335)</f>
        <v>211120</v>
      </c>
      <c r="CN335" s="80">
        <f>IF($BH335="",1,COUNTIF($BH$3:$BH335,$BH335))</f>
        <v>1</v>
      </c>
      <c r="CP335" t="str">
        <f>IF($K335="Standard Match","Match",IF($K335="Name Only Match",IF($CO335="Yes","Match","Name Only Match"),"No Match"))</f>
        <v>Match</v>
      </c>
      <c r="CQ335" s="35" t="str">
        <f>IF(AND(CP335="Match",CK335&gt;0,CL335&gt;0),"Y","N")</f>
        <v>Y</v>
      </c>
      <c r="CS335" t="str">
        <f>IF($CQ335="Y",VLOOKUP($CM335,'SBA Size Standards'!$B$3:$G$57,MATCH('SBA Size Standards'!$G$3,'SBA Size Standards'!$B$3:$G$3,0),FALSE),"")</f>
        <v>Employment</v>
      </c>
      <c r="CT335" s="60" t="str">
        <f>IF(CQ335="Y",IF($CS335="Employment","N/A",VLOOKUP($CM335,'SBA Size Standards'!$B$3:$G$57,MATCH('SBA Size Standards'!$E$3,'SBA Size Standards'!$B$3:$G$3,0),FALSE)),"")</f>
        <v>N/A</v>
      </c>
      <c r="CU335" s="86">
        <f>IF($CQ335="Y",IF($CS335="Revenue","N/A",VLOOKUP($CM335,'SBA Size Standards'!$B$3:$G$57,MATCH('SBA Size Standards'!$F$3,'SBA Size Standards'!$B$3:$G$3,0),FALSE)),"")</f>
        <v>1250</v>
      </c>
      <c r="CV335" t="str">
        <f>IF($CQ335="Y",IF(OR(AND($CS335="Employment",$CL335&lt;$CU335),AND($CS335="Revenue",$CK335&lt;$CT335)),"YES","NO"),"")</f>
        <v>YES</v>
      </c>
      <c r="CW335" s="90" t="str">
        <f>IF($CQ335="Y",INDEX('SBA Size Standards'!$N$3:$N$12,MATCH($CK335,'SBA Size Standards'!$O$3:$O$12,1)),"")</f>
        <v>$100,001 - $500,000</v>
      </c>
      <c r="CX335" s="122" t="s">
        <v>4629</v>
      </c>
      <c r="CY335" s="122">
        <f>INDEX('NM O&amp;G Production'!$P$3:$P$537,MATCH(CX335,'NM O&amp;G Production'!$Q$3:$Q$537,0))</f>
        <v>204</v>
      </c>
      <c r="CZ335" s="122" t="str">
        <f>INDEX('NM O&amp;G Production'!$O$3:$O$537,MATCH(CY335,'NM O&amp;G Production'!$P$3:$P$537,0))</f>
        <v>Yes</v>
      </c>
      <c r="DA335" s="127">
        <f>INDEX('NM O&amp;G Production'!$K$3:$O$537,MATCH($CY335,'NM O&amp;G Production'!$P$3:$P$537,0),MATCH(DA$2,'NM O&amp;G Production'!$K$2:$O$2,0))</f>
        <v>0</v>
      </c>
      <c r="DB335" s="127">
        <f>INDEX('NM O&amp;G Production'!$K$3:$O$537,MATCH($CY335,'NM O&amp;G Production'!$P$3:$P$537,0),MATCH(DB$2,'NM O&amp;G Production'!$K$2:$O$2,0))</f>
        <v>1</v>
      </c>
      <c r="DC335" s="127">
        <f>DA335+DB335</f>
        <v>1</v>
      </c>
      <c r="DD335" s="127">
        <f>INDEX('NM O&amp;G Production'!$K$3:$O$537,MATCH($CY335,'NM O&amp;G Production'!$P$3:$P$537,0),MATCH(DD$2,'NM O&amp;G Production'!$K$2:$O$2,0))</f>
        <v>0</v>
      </c>
      <c r="DE335" s="127">
        <f>INDEX('NM O&amp;G Production'!$K$3:$O$537,MATCH($CY335,'NM O&amp;G Production'!$P$3:$P$537,0),MATCH(DE$2,'NM O&amp;G Production'!$K$2:$O$2,0))</f>
        <v>114</v>
      </c>
      <c r="DF335" s="258">
        <f>CK335/(DB335+DA335)</f>
        <v>265357</v>
      </c>
      <c r="DG335" s="57">
        <f>DD335*(12/18)*1.06*'Oil and Gas Prices'!$C$18</f>
        <v>0</v>
      </c>
      <c r="DH335" s="284">
        <f>DE335*(12/18)*'Oil and Gas Prices'!$C$4</f>
        <v>3420</v>
      </c>
      <c r="DI335" s="284">
        <f>DG335+DH335</f>
        <v>3420</v>
      </c>
      <c r="DJ335" s="57">
        <f>(DG335+DH335)/(DA335+DB335)</f>
        <v>3420</v>
      </c>
      <c r="DK335" s="319"/>
    </row>
    <row r="336" spans="1:115" x14ac:dyDescent="0.25">
      <c r="A336" t="s">
        <v>3516</v>
      </c>
      <c r="B336" t="s">
        <v>3517</v>
      </c>
      <c r="D336" t="s">
        <v>183</v>
      </c>
      <c r="E336" t="s">
        <v>184</v>
      </c>
      <c r="F336">
        <v>74137</v>
      </c>
      <c r="G336" t="s">
        <v>62</v>
      </c>
      <c r="I336">
        <v>517</v>
      </c>
      <c r="J336" t="s">
        <v>63</v>
      </c>
      <c r="K336" t="s">
        <v>4133</v>
      </c>
      <c r="L336" t="s">
        <v>64</v>
      </c>
      <c r="M336">
        <v>10</v>
      </c>
      <c r="N336" t="s">
        <v>3518</v>
      </c>
      <c r="O336" t="s">
        <v>3519</v>
      </c>
      <c r="Q336" t="s">
        <v>3520</v>
      </c>
      <c r="R336" t="s">
        <v>183</v>
      </c>
      <c r="S336" t="s">
        <v>188</v>
      </c>
      <c r="T336" t="s">
        <v>3521</v>
      </c>
      <c r="U336" t="s">
        <v>62</v>
      </c>
      <c r="V336">
        <v>9184923239</v>
      </c>
      <c r="W336" s="1">
        <v>250000</v>
      </c>
      <c r="X336">
        <v>2</v>
      </c>
      <c r="Y336">
        <v>2</v>
      </c>
      <c r="Z336">
        <v>1994</v>
      </c>
      <c r="AA336" t="s">
        <v>70</v>
      </c>
      <c r="AB336" t="s">
        <v>3522</v>
      </c>
      <c r="AC336" t="s">
        <v>98</v>
      </c>
      <c r="AD336" t="s">
        <v>119</v>
      </c>
      <c r="AE336">
        <v>1382</v>
      </c>
      <c r="AF336" t="s">
        <v>120</v>
      </c>
      <c r="AI336">
        <v>13820000</v>
      </c>
      <c r="AJ336" t="s">
        <v>119</v>
      </c>
      <c r="AM336">
        <v>213112</v>
      </c>
      <c r="AN336" t="s">
        <v>74</v>
      </c>
      <c r="AQ336" t="s">
        <v>75</v>
      </c>
      <c r="AT336" t="s">
        <v>76</v>
      </c>
      <c r="BF336">
        <v>0</v>
      </c>
      <c r="BG336">
        <v>0</v>
      </c>
      <c r="CK336" s="19">
        <f>IF(BQ336&gt;0,BQ336,W336)</f>
        <v>250000</v>
      </c>
      <c r="CL336" s="20">
        <f>IF(BS336&gt;0,BS336,Y336)</f>
        <v>2</v>
      </c>
      <c r="CM336" s="34">
        <f>IF(CG336&gt;0,CG336,AM336)</f>
        <v>213112</v>
      </c>
      <c r="CN336" s="80">
        <f>IF($BH336="",1,COUNTIF($BH$3:$BH336,$BH336))</f>
        <v>1</v>
      </c>
      <c r="CP336" t="str">
        <f>IF($K336="Standard Match","Match",IF($K336="Name Only Match",IF($CO336="Yes","Match","Name Only Match"),"No Match"))</f>
        <v>Match</v>
      </c>
      <c r="CQ336" s="35" t="str">
        <f>IF(AND(CP336="Match",CK336&gt;0,CL336&gt;0),"Y","N")</f>
        <v>Y</v>
      </c>
      <c r="CS336" t="str">
        <f>IF($CQ336="Y",VLOOKUP($CM336,'SBA Size Standards'!$B$3:$G$57,MATCH('SBA Size Standards'!$G$3,'SBA Size Standards'!$B$3:$G$3,0),FALSE),"")</f>
        <v>Revenue</v>
      </c>
      <c r="CT336" s="60">
        <f>IF(CQ336="Y",IF($CS336="Employment","N/A",VLOOKUP($CM336,'SBA Size Standards'!$B$3:$G$57,MATCH('SBA Size Standards'!$E$3,'SBA Size Standards'!$B$3:$G$3,0),FALSE)),"")</f>
        <v>41500000</v>
      </c>
      <c r="CU336" s="86" t="str">
        <f>IF($CQ336="Y",IF($CS336="Revenue","N/A",VLOOKUP($CM336,'SBA Size Standards'!$B$3:$G$57,MATCH('SBA Size Standards'!$F$3,'SBA Size Standards'!$B$3:$G$3,0),FALSE)),"")</f>
        <v>N/A</v>
      </c>
      <c r="CV336" t="str">
        <f>IF($CQ336="Y",IF(OR(AND($CS336="Employment",$CL336&lt;$CU336),AND($CS336="Revenue",$CK336&lt;$CT336)),"YES","NO"),"")</f>
        <v>YES</v>
      </c>
      <c r="CW336" s="90" t="str">
        <f>IF($CQ336="Y",INDEX('SBA Size Standards'!$N$3:$N$12,MATCH($CK336,'SBA Size Standards'!$O$3:$O$12,1)),"")</f>
        <v>$100,001 - $500,000</v>
      </c>
      <c r="CX336" s="122" t="s">
        <v>4784</v>
      </c>
      <c r="CY336" s="122">
        <f>INDEX('NM O&amp;G Production'!$P$3:$P$537,MATCH(CX336,'NM O&amp;G Production'!$Q$3:$Q$537,0))</f>
        <v>517</v>
      </c>
      <c r="CZ336" s="122" t="str">
        <f>INDEX('NM O&amp;G Production'!$O$3:$O$537,MATCH(CY336,'NM O&amp;G Production'!$P$3:$P$537,0))</f>
        <v>yes</v>
      </c>
      <c r="DA336" s="127">
        <f>INDEX('NM O&amp;G Production'!$K$3:$O$537,MATCH($CY336,'NM O&amp;G Production'!$P$3:$P$537,0),MATCH(DA$2,'NM O&amp;G Production'!$K$2:$O$2,0))</f>
        <v>23</v>
      </c>
      <c r="DB336" s="127">
        <f>INDEX('NM O&amp;G Production'!$K$3:$O$537,MATCH($CY336,'NM O&amp;G Production'!$P$3:$P$537,0),MATCH(DB$2,'NM O&amp;G Production'!$K$2:$O$2,0))</f>
        <v>0</v>
      </c>
      <c r="DC336" s="127">
        <f>DA336+DB336</f>
        <v>23</v>
      </c>
      <c r="DD336" s="127">
        <f>INDEX('NM O&amp;G Production'!$K$3:$O$537,MATCH($CY336,'NM O&amp;G Production'!$P$3:$P$537,0),MATCH(DD$2,'NM O&amp;G Production'!$K$2:$O$2,0))</f>
        <v>1585070</v>
      </c>
      <c r="DE336" s="127">
        <f>INDEX('NM O&amp;G Production'!$K$3:$O$537,MATCH($CY336,'NM O&amp;G Production'!$P$3:$P$537,0),MATCH(DE$2,'NM O&amp;G Production'!$K$2:$O$2,0))</f>
        <v>0</v>
      </c>
      <c r="DF336" s="258">
        <f>CK336/(DB336+DA336)</f>
        <v>10869.565217391304</v>
      </c>
      <c r="DG336" s="57">
        <f>DD336*(12/18)*1.06*'Oil and Gas Prices'!$C$18</f>
        <v>2677077.5586666665</v>
      </c>
      <c r="DH336" s="284">
        <f>DE336*(12/18)*'Oil and Gas Prices'!$C$4</f>
        <v>0</v>
      </c>
      <c r="DI336" s="284">
        <f>DG336+DH336</f>
        <v>2677077.5586666665</v>
      </c>
      <c r="DJ336" s="57">
        <f>(DG336+DH336)/(DA336+DB336)</f>
        <v>116394.6764637681</v>
      </c>
      <c r="DK336" s="318"/>
    </row>
    <row r="337" spans="1:115" x14ac:dyDescent="0.25">
      <c r="A337" t="s">
        <v>2016</v>
      </c>
      <c r="B337" t="s">
        <v>2017</v>
      </c>
      <c r="D337" t="s">
        <v>1073</v>
      </c>
      <c r="E337" t="s">
        <v>84</v>
      </c>
      <c r="F337">
        <v>87122</v>
      </c>
      <c r="G337" t="s">
        <v>62</v>
      </c>
      <c r="I337">
        <v>283</v>
      </c>
      <c r="J337" t="s">
        <v>63</v>
      </c>
      <c r="K337" t="s">
        <v>4133</v>
      </c>
      <c r="L337" t="s">
        <v>64</v>
      </c>
      <c r="M337">
        <v>10</v>
      </c>
      <c r="N337" t="s">
        <v>2018</v>
      </c>
      <c r="O337" t="s">
        <v>2019</v>
      </c>
      <c r="Q337" t="s">
        <v>2017</v>
      </c>
      <c r="R337" t="s">
        <v>1073</v>
      </c>
      <c r="S337" t="s">
        <v>214</v>
      </c>
      <c r="T337" t="s">
        <v>2020</v>
      </c>
      <c r="U337" t="s">
        <v>62</v>
      </c>
      <c r="V337">
        <v>5058561084</v>
      </c>
      <c r="W337" s="1">
        <v>247133</v>
      </c>
      <c r="X337">
        <v>2</v>
      </c>
      <c r="Y337">
        <v>2</v>
      </c>
      <c r="Z337">
        <v>1961</v>
      </c>
      <c r="AA337" t="s">
        <v>70</v>
      </c>
      <c r="AB337" t="s">
        <v>2021</v>
      </c>
      <c r="AC337" t="s">
        <v>98</v>
      </c>
      <c r="AD337" t="s">
        <v>99</v>
      </c>
      <c r="AE337">
        <v>1311</v>
      </c>
      <c r="AF337" t="s">
        <v>100</v>
      </c>
      <c r="AI337">
        <v>13110101</v>
      </c>
      <c r="AJ337" t="s">
        <v>102</v>
      </c>
      <c r="AM337">
        <v>211120</v>
      </c>
      <c r="AN337" t="s">
        <v>104</v>
      </c>
      <c r="AQ337" t="s">
        <v>75</v>
      </c>
      <c r="AT337" t="s">
        <v>76</v>
      </c>
      <c r="BF337">
        <v>0</v>
      </c>
      <c r="BG337">
        <v>0</v>
      </c>
      <c r="CK337" s="19">
        <f>IF(BQ337&gt;0,BQ337,W337)</f>
        <v>247133</v>
      </c>
      <c r="CL337" s="20">
        <f>IF(BS337&gt;0,BS337,Y337)</f>
        <v>2</v>
      </c>
      <c r="CM337" s="34">
        <f>IF(CG337&gt;0,CG337,AM337)</f>
        <v>211120</v>
      </c>
      <c r="CN337" s="80">
        <f>IF($BH337="",1,COUNTIF($BH$3:$BH337,$BH337))</f>
        <v>1</v>
      </c>
      <c r="CP337" t="str">
        <f>IF($K337="Standard Match","Match",IF($K337="Name Only Match",IF($CO337="Yes","Match","Name Only Match"),"No Match"))</f>
        <v>Match</v>
      </c>
      <c r="CQ337" s="35" t="str">
        <f>IF(AND(CP337="Match",CK337&gt;0,CL337&gt;0),"Y","N")</f>
        <v>Y</v>
      </c>
      <c r="CS337" t="str">
        <f>IF($CQ337="Y",VLOOKUP($CM337,'SBA Size Standards'!$B$3:$G$57,MATCH('SBA Size Standards'!$G$3,'SBA Size Standards'!$B$3:$G$3,0),FALSE),"")</f>
        <v>Employment</v>
      </c>
      <c r="CT337" s="60" t="str">
        <f>IF(CQ337="Y",IF($CS337="Employment","N/A",VLOOKUP($CM337,'SBA Size Standards'!$B$3:$G$57,MATCH('SBA Size Standards'!$E$3,'SBA Size Standards'!$B$3:$G$3,0),FALSE)),"")</f>
        <v>N/A</v>
      </c>
      <c r="CU337" s="86">
        <f>IF($CQ337="Y",IF($CS337="Revenue","N/A",VLOOKUP($CM337,'SBA Size Standards'!$B$3:$G$57,MATCH('SBA Size Standards'!$F$3,'SBA Size Standards'!$B$3:$G$3,0),FALSE)),"")</f>
        <v>1250</v>
      </c>
      <c r="CV337" t="str">
        <f>IF($CQ337="Y",IF(OR(AND($CS337="Employment",$CL337&lt;$CU337),AND($CS337="Revenue",$CK337&lt;$CT337)),"YES","NO"),"")</f>
        <v>YES</v>
      </c>
      <c r="CW337" s="90" t="str">
        <f>IF($CQ337="Y",INDEX('SBA Size Standards'!$N$3:$N$12,MATCH($CK337,'SBA Size Standards'!$O$3:$O$12,1)),"")</f>
        <v>$100,001 - $500,000</v>
      </c>
      <c r="CX337" s="122" t="s">
        <v>4666</v>
      </c>
      <c r="CY337" s="122">
        <f>INDEX('NM O&amp;G Production'!$P$3:$P$537,MATCH(CX337,'NM O&amp;G Production'!$Q$3:$Q$537,0))</f>
        <v>283</v>
      </c>
      <c r="CZ337" s="122" t="str">
        <f>INDEX('NM O&amp;G Production'!$O$3:$O$537,MATCH(CY337,'NM O&amp;G Production'!$P$3:$P$537,0))</f>
        <v>Yes</v>
      </c>
      <c r="DA337" s="127">
        <f>INDEX('NM O&amp;G Production'!$K$3:$O$537,MATCH($CY337,'NM O&amp;G Production'!$P$3:$P$537,0),MATCH(DA$2,'NM O&amp;G Production'!$K$2:$O$2,0))</f>
        <v>10</v>
      </c>
      <c r="DB337" s="127">
        <f>INDEX('NM O&amp;G Production'!$K$3:$O$537,MATCH($CY337,'NM O&amp;G Production'!$P$3:$P$537,0),MATCH(DB$2,'NM O&amp;G Production'!$K$2:$O$2,0))</f>
        <v>19</v>
      </c>
      <c r="DC337" s="127">
        <f>DA337+DB337</f>
        <v>29</v>
      </c>
      <c r="DD337" s="127">
        <f>INDEX('NM O&amp;G Production'!$K$3:$O$537,MATCH($CY337,'NM O&amp;G Production'!$P$3:$P$537,0),MATCH(DD$2,'NM O&amp;G Production'!$K$2:$O$2,0))</f>
        <v>572110</v>
      </c>
      <c r="DE337" s="127">
        <f>INDEX('NM O&amp;G Production'!$K$3:$O$537,MATCH($CY337,'NM O&amp;G Production'!$P$3:$P$537,0),MATCH(DE$2,'NM O&amp;G Production'!$K$2:$O$2,0))</f>
        <v>701</v>
      </c>
      <c r="DF337" s="258">
        <f>CK337/(DB337+DA337)</f>
        <v>8521.8275862068967</v>
      </c>
      <c r="DG337" s="57">
        <f>DD337*(12/18)*1.06*'Oil and Gas Prices'!$C$18</f>
        <v>966255.64933333336</v>
      </c>
      <c r="DH337" s="284">
        <f>DE337*(12/18)*'Oil and Gas Prices'!$C$4</f>
        <v>21030</v>
      </c>
      <c r="DI337" s="284">
        <f>DG337+DH337</f>
        <v>987285.64933333336</v>
      </c>
      <c r="DJ337" s="57">
        <f>(DG337+DH337)/(DA337+DB337)</f>
        <v>34044.332735632182</v>
      </c>
      <c r="DK337" s="318"/>
    </row>
    <row r="338" spans="1:115" x14ac:dyDescent="0.25">
      <c r="A338" t="s">
        <v>2532</v>
      </c>
      <c r="B338" t="s">
        <v>2533</v>
      </c>
      <c r="D338" t="s">
        <v>2203</v>
      </c>
      <c r="E338" t="s">
        <v>80</v>
      </c>
      <c r="F338">
        <v>75083</v>
      </c>
      <c r="G338" t="s">
        <v>62</v>
      </c>
      <c r="I338">
        <v>365</v>
      </c>
      <c r="J338" t="s">
        <v>63</v>
      </c>
      <c r="K338" t="s">
        <v>4133</v>
      </c>
      <c r="L338" t="s">
        <v>149</v>
      </c>
      <c r="M338">
        <v>10</v>
      </c>
      <c r="N338" t="s">
        <v>2534</v>
      </c>
      <c r="O338" t="s">
        <v>2535</v>
      </c>
      <c r="Q338" t="s">
        <v>2536</v>
      </c>
      <c r="R338" t="s">
        <v>83</v>
      </c>
      <c r="S338" t="s">
        <v>214</v>
      </c>
      <c r="T338" t="s">
        <v>2537</v>
      </c>
      <c r="U338" t="s">
        <v>62</v>
      </c>
      <c r="V338">
        <v>5757482093</v>
      </c>
      <c r="W338" s="1">
        <v>242265</v>
      </c>
      <c r="X338">
        <v>1</v>
      </c>
      <c r="Y338">
        <v>1</v>
      </c>
      <c r="Z338">
        <v>1980</v>
      </c>
      <c r="AA338" t="s">
        <v>70</v>
      </c>
      <c r="AB338" t="s">
        <v>2538</v>
      </c>
      <c r="AC338" t="s">
        <v>98</v>
      </c>
      <c r="AD338" t="s">
        <v>99</v>
      </c>
      <c r="AE338">
        <v>1311</v>
      </c>
      <c r="AF338" t="s">
        <v>100</v>
      </c>
      <c r="AI338">
        <v>13110101</v>
      </c>
      <c r="AJ338" t="s">
        <v>102</v>
      </c>
      <c r="AM338">
        <v>211120</v>
      </c>
      <c r="AN338" t="s">
        <v>104</v>
      </c>
      <c r="AQ338" t="s">
        <v>75</v>
      </c>
      <c r="AT338" t="s">
        <v>76</v>
      </c>
      <c r="BF338">
        <v>0</v>
      </c>
      <c r="BG338">
        <v>0</v>
      </c>
      <c r="CK338" s="19">
        <f>IF(BQ338&gt;0,BQ338,W338)</f>
        <v>242265</v>
      </c>
      <c r="CL338" s="20">
        <f>IF(BS338&gt;0,BS338,Y338)</f>
        <v>1</v>
      </c>
      <c r="CM338" s="34">
        <f>IF(CG338&gt;0,CG338,AM338)</f>
        <v>211120</v>
      </c>
      <c r="CN338" s="80">
        <f>IF($BH338="",1,COUNTIF($BH$3:$BH338,$BH338))</f>
        <v>1</v>
      </c>
      <c r="CP338" t="str">
        <f>IF($K338="Standard Match","Match",IF($K338="Name Only Match",IF($CO338="Yes","Match","Name Only Match"),"No Match"))</f>
        <v>Match</v>
      </c>
      <c r="CQ338" s="35" t="str">
        <f>IF(AND(CP338="Match",CK338&gt;0,CL338&gt;0),"Y","N")</f>
        <v>Y</v>
      </c>
      <c r="CS338" t="str">
        <f>IF($CQ338="Y",VLOOKUP($CM338,'SBA Size Standards'!$B$3:$G$57,MATCH('SBA Size Standards'!$G$3,'SBA Size Standards'!$B$3:$G$3,0),FALSE),"")</f>
        <v>Employment</v>
      </c>
      <c r="CT338" s="60" t="str">
        <f>IF(CQ338="Y",IF($CS338="Employment","N/A",VLOOKUP($CM338,'SBA Size Standards'!$B$3:$G$57,MATCH('SBA Size Standards'!$E$3,'SBA Size Standards'!$B$3:$G$3,0),FALSE)),"")</f>
        <v>N/A</v>
      </c>
      <c r="CU338" s="86">
        <f>IF($CQ338="Y",IF($CS338="Revenue","N/A",VLOOKUP($CM338,'SBA Size Standards'!$B$3:$G$57,MATCH('SBA Size Standards'!$F$3,'SBA Size Standards'!$B$3:$G$3,0),FALSE)),"")</f>
        <v>1250</v>
      </c>
      <c r="CV338" t="str">
        <f>IF($CQ338="Y",IF(OR(AND($CS338="Employment",$CL338&lt;$CU338),AND($CS338="Revenue",$CK338&lt;$CT338)),"YES","NO"),"")</f>
        <v>YES</v>
      </c>
      <c r="CW338" s="90" t="str">
        <f>IF($CQ338="Y",INDEX('SBA Size Standards'!$N$3:$N$12,MATCH($CK338,'SBA Size Standards'!$O$3:$O$12,1)),"")</f>
        <v>$100,001 - $500,000</v>
      </c>
      <c r="CX338" s="122" t="s">
        <v>4701</v>
      </c>
      <c r="CY338" s="122">
        <f>INDEX('NM O&amp;G Production'!$P$3:$P$537,MATCH(CX338,'NM O&amp;G Production'!$Q$3:$Q$537,0))</f>
        <v>365</v>
      </c>
      <c r="CZ338" s="122" t="str">
        <f>INDEX('NM O&amp;G Production'!$O$3:$O$537,MATCH(CY338,'NM O&amp;G Production'!$P$3:$P$537,0))</f>
        <v>Yes</v>
      </c>
      <c r="DA338" s="127">
        <f>INDEX('NM O&amp;G Production'!$K$3:$O$537,MATCH($CY338,'NM O&amp;G Production'!$P$3:$P$537,0),MATCH(DA$2,'NM O&amp;G Production'!$K$2:$O$2,0))</f>
        <v>5</v>
      </c>
      <c r="DB338" s="127">
        <f>INDEX('NM O&amp;G Production'!$K$3:$O$537,MATCH($CY338,'NM O&amp;G Production'!$P$3:$P$537,0),MATCH(DB$2,'NM O&amp;G Production'!$K$2:$O$2,0))</f>
        <v>102</v>
      </c>
      <c r="DC338" s="127">
        <f>DA338+DB338</f>
        <v>107</v>
      </c>
      <c r="DD338" s="127">
        <f>INDEX('NM O&amp;G Production'!$K$3:$O$537,MATCH($CY338,'NM O&amp;G Production'!$P$3:$P$537,0),MATCH(DD$2,'NM O&amp;G Production'!$K$2:$O$2,0))</f>
        <v>1192534</v>
      </c>
      <c r="DE338" s="127">
        <f>INDEX('NM O&amp;G Production'!$K$3:$O$537,MATCH($CY338,'NM O&amp;G Production'!$P$3:$P$537,0),MATCH(DE$2,'NM O&amp;G Production'!$K$2:$O$2,0))</f>
        <v>156558</v>
      </c>
      <c r="DF338" s="258">
        <f>CK338/(DB338+DA338)</f>
        <v>2264.1588785046729</v>
      </c>
      <c r="DG338" s="57">
        <f>DD338*(12/18)*1.06*'Oil and Gas Prices'!$C$18</f>
        <v>2014110.4237333334</v>
      </c>
      <c r="DH338" s="284">
        <f>DE338*(12/18)*'Oil and Gas Prices'!$C$4</f>
        <v>4696740</v>
      </c>
      <c r="DI338" s="284">
        <f>DG338+DH338</f>
        <v>6710850.4237333331</v>
      </c>
      <c r="DJ338" s="57">
        <f>(DG338+DH338)/(DA338+DB338)</f>
        <v>62718.228259190029</v>
      </c>
      <c r="DK338" s="318"/>
    </row>
    <row r="339" spans="1:115" x14ac:dyDescent="0.25">
      <c r="A339" s="21" t="s">
        <v>458</v>
      </c>
      <c r="B339" s="21" t="s">
        <v>459</v>
      </c>
      <c r="C339" s="21"/>
      <c r="D339" s="21" t="s">
        <v>123</v>
      </c>
      <c r="E339" s="21" t="s">
        <v>460</v>
      </c>
      <c r="F339">
        <v>87499</v>
      </c>
      <c r="G339" t="s">
        <v>62</v>
      </c>
      <c r="I339">
        <v>56</v>
      </c>
      <c r="J339" t="s">
        <v>404</v>
      </c>
      <c r="K339" t="s">
        <v>4134</v>
      </c>
      <c r="L339" t="s">
        <v>3627</v>
      </c>
      <c r="M339">
        <v>8</v>
      </c>
      <c r="N339" t="s">
        <v>3796</v>
      </c>
      <c r="O339" s="21" t="s">
        <v>458</v>
      </c>
      <c r="P339" s="21"/>
      <c r="Q339" s="21"/>
      <c r="R339" s="21" t="s">
        <v>3797</v>
      </c>
      <c r="S339" s="21" t="s">
        <v>68</v>
      </c>
      <c r="T339">
        <v>81321</v>
      </c>
      <c r="U339" t="s">
        <v>62</v>
      </c>
      <c r="V339">
        <v>9705658644</v>
      </c>
      <c r="W339" s="23">
        <v>240000</v>
      </c>
      <c r="X339" s="21">
        <v>3</v>
      </c>
      <c r="Y339" s="21">
        <v>3</v>
      </c>
      <c r="AA339" s="21" t="s">
        <v>70</v>
      </c>
      <c r="AD339" s="21" t="s">
        <v>99</v>
      </c>
      <c r="AE339">
        <v>1311</v>
      </c>
      <c r="AF339" t="s">
        <v>100</v>
      </c>
      <c r="AI339">
        <v>13110100</v>
      </c>
      <c r="AJ339" t="s">
        <v>411</v>
      </c>
      <c r="AM339" s="21">
        <v>211120</v>
      </c>
      <c r="AN339" s="21" t="s">
        <v>104</v>
      </c>
      <c r="AO339" s="21"/>
      <c r="AP339" s="21"/>
      <c r="AQ339" s="21" t="s">
        <v>75</v>
      </c>
      <c r="AT339" t="s">
        <v>76</v>
      </c>
      <c r="BF339">
        <v>0</v>
      </c>
      <c r="BG339" s="24">
        <v>0</v>
      </c>
      <c r="BH339" s="24"/>
      <c r="BI339" s="24"/>
      <c r="BJ339" s="24"/>
      <c r="BK339" s="24"/>
      <c r="BL339" s="24"/>
      <c r="BM339" s="24"/>
      <c r="BN339" s="24"/>
      <c r="BO339" s="24"/>
      <c r="BQ339" s="24"/>
      <c r="BR339" s="24"/>
      <c r="BS339" s="24"/>
      <c r="BU339" s="24"/>
      <c r="BX339" s="24"/>
      <c r="CG339" s="24"/>
      <c r="CH339" s="24"/>
      <c r="CI339" s="24"/>
      <c r="CJ339" s="24"/>
      <c r="CK339" s="19">
        <f>IF(BQ339&gt;0,BQ339,W339)</f>
        <v>240000</v>
      </c>
      <c r="CL339" s="20">
        <f>IF(BS339&gt;0,BS339,Y339)</f>
        <v>3</v>
      </c>
      <c r="CM339" s="34">
        <f>IF(CG339&gt;0,CG339,AM339)</f>
        <v>211120</v>
      </c>
      <c r="CN339" s="80">
        <f>IF($BH339="",1,COUNTIF($BH$3:$BH339,$BH339))</f>
        <v>1</v>
      </c>
      <c r="CO339" s="33" t="s">
        <v>4386</v>
      </c>
      <c r="CP339" t="str">
        <f>IF($K339="Standard Match","Match",IF($K339="Name Only Match",IF($CO339="Yes","Match","Name Only Match"),"No Match"))</f>
        <v>Match</v>
      </c>
      <c r="CQ339" s="35" t="str">
        <f>IF(AND(CP339="Match",CK339&gt;0,CL339&gt;0),"Y","N")</f>
        <v>Y</v>
      </c>
      <c r="CR339" s="21"/>
      <c r="CS339" t="str">
        <f>IF($CQ339="Y",VLOOKUP($CM339,'SBA Size Standards'!$B$3:$G$57,MATCH('SBA Size Standards'!$G$3,'SBA Size Standards'!$B$3:$G$3,0),FALSE),"")</f>
        <v>Employment</v>
      </c>
      <c r="CT339" s="60" t="str">
        <f>IF(CQ339="Y",IF($CS339="Employment","N/A",VLOOKUP($CM339,'SBA Size Standards'!$B$3:$G$57,MATCH('SBA Size Standards'!$E$3,'SBA Size Standards'!$B$3:$G$3,0),FALSE)),"")</f>
        <v>N/A</v>
      </c>
      <c r="CU339" s="86">
        <f>IF($CQ339="Y",IF($CS339="Revenue","N/A",VLOOKUP($CM339,'SBA Size Standards'!$B$3:$G$57,MATCH('SBA Size Standards'!$F$3,'SBA Size Standards'!$B$3:$G$3,0),FALSE)),"")</f>
        <v>1250</v>
      </c>
      <c r="CV339" t="str">
        <f>IF($CQ339="Y",IF(OR(AND($CS339="Employment",$CL339&lt;$CU339),AND($CS339="Revenue",$CK339&lt;$CT339)),"YES","NO"),"")</f>
        <v>YES</v>
      </c>
      <c r="CW339" s="90" t="str">
        <f>IF($CQ339="Y",INDEX('SBA Size Standards'!$N$3:$N$12,MATCH($CK339,'SBA Size Standards'!$O$3:$O$12,1)),"")</f>
        <v>$100,001 - $500,000</v>
      </c>
      <c r="CX339" s="122" t="s">
        <v>4943</v>
      </c>
      <c r="CY339" s="122">
        <f>INDEX('NM O&amp;G Production'!$P$3:$P$537,MATCH(CX339,'NM O&amp;G Production'!$Q$3:$Q$537,0))</f>
        <v>56</v>
      </c>
      <c r="CZ339" s="122" t="str">
        <f>INDEX('NM O&amp;G Production'!$O$3:$O$537,MATCH(CY339,'NM O&amp;G Production'!$P$3:$P$537,0))</f>
        <v>No</v>
      </c>
      <c r="DA339" s="127">
        <f>INDEX('NM O&amp;G Production'!$K$3:$O$537,MATCH($CY339,'NM O&amp;G Production'!$P$3:$P$537,0),MATCH(DA$2,'NM O&amp;G Production'!$K$2:$O$2,0))</f>
        <v>0</v>
      </c>
      <c r="DB339" s="127">
        <f>INDEX('NM O&amp;G Production'!$K$3:$O$537,MATCH($CY339,'NM O&amp;G Production'!$P$3:$P$537,0),MATCH(DB$2,'NM O&amp;G Production'!$K$2:$O$2,0))</f>
        <v>0</v>
      </c>
      <c r="DC339" s="127"/>
      <c r="DD339" s="127">
        <f>INDEX('NM O&amp;G Production'!$K$3:$O$537,MATCH($CY339,'NM O&amp;G Production'!$P$3:$P$537,0),MATCH(DD$2,'NM O&amp;G Production'!$K$2:$O$2,0))</f>
        <v>0</v>
      </c>
      <c r="DE339" s="127">
        <f>INDEX('NM O&amp;G Production'!$K$3:$O$537,MATCH($CY339,'NM O&amp;G Production'!$P$3:$P$537,0),MATCH(DE$2,'NM O&amp;G Production'!$K$2:$O$2,0))</f>
        <v>0</v>
      </c>
      <c r="DF339" s="258" t="e">
        <f>CK339/(DB339+DA339)</f>
        <v>#DIV/0!</v>
      </c>
      <c r="DG339" s="57">
        <f>DD339*(12/18)*1.06*'Oil and Gas Prices'!$C$18</f>
        <v>0</v>
      </c>
      <c r="DH339" s="284">
        <f>DE339*(12/18)*'Oil and Gas Prices'!$C$4</f>
        <v>0</v>
      </c>
      <c r="DI339" s="284"/>
      <c r="DJ339" s="57" t="e">
        <f>(DG339+DH339)/(DA339+DB339)</f>
        <v>#DIV/0!</v>
      </c>
      <c r="DK339" s="18" t="e">
        <f>CK339/DI339</f>
        <v>#DIV/0!</v>
      </c>
    </row>
    <row r="340" spans="1:115" x14ac:dyDescent="0.25">
      <c r="A340" t="s">
        <v>2368</v>
      </c>
      <c r="B340" t="s">
        <v>2369</v>
      </c>
      <c r="D340" t="s">
        <v>585</v>
      </c>
      <c r="E340" t="s">
        <v>184</v>
      </c>
      <c r="F340">
        <v>73116</v>
      </c>
      <c r="G340" t="s">
        <v>62</v>
      </c>
      <c r="I340">
        <v>335</v>
      </c>
      <c r="J340" t="s">
        <v>63</v>
      </c>
      <c r="K340" t="s">
        <v>4133</v>
      </c>
      <c r="L340" t="s">
        <v>113</v>
      </c>
      <c r="M340">
        <v>8</v>
      </c>
      <c r="N340" t="s">
        <v>2370</v>
      </c>
      <c r="O340" t="s">
        <v>2371</v>
      </c>
      <c r="Q340" t="s">
        <v>2372</v>
      </c>
      <c r="R340" t="s">
        <v>585</v>
      </c>
      <c r="S340" t="s">
        <v>188</v>
      </c>
      <c r="T340" t="s">
        <v>2373</v>
      </c>
      <c r="U340" t="s">
        <v>62</v>
      </c>
      <c r="V340">
        <v>4052864391</v>
      </c>
      <c r="W340" s="1">
        <v>239336</v>
      </c>
      <c r="X340">
        <v>2</v>
      </c>
      <c r="Y340">
        <v>2</v>
      </c>
      <c r="Z340">
        <v>2018</v>
      </c>
      <c r="AA340" t="s">
        <v>70</v>
      </c>
      <c r="AD340" t="s">
        <v>119</v>
      </c>
      <c r="AE340">
        <v>1382</v>
      </c>
      <c r="AF340" t="s">
        <v>120</v>
      </c>
      <c r="AI340">
        <v>13820000</v>
      </c>
      <c r="AJ340" t="s">
        <v>119</v>
      </c>
      <c r="AM340">
        <v>213112</v>
      </c>
      <c r="AN340" t="s">
        <v>74</v>
      </c>
      <c r="AQ340" t="s">
        <v>75</v>
      </c>
      <c r="AT340" t="s">
        <v>76</v>
      </c>
      <c r="BF340">
        <v>0</v>
      </c>
      <c r="BG340">
        <v>0</v>
      </c>
      <c r="CK340" s="19">
        <f>IF(BQ340&gt;0,BQ340,W340)</f>
        <v>239336</v>
      </c>
      <c r="CL340" s="20">
        <f>IF(BS340&gt;0,BS340,Y340)</f>
        <v>2</v>
      </c>
      <c r="CM340" s="34">
        <f>IF(CG340&gt;0,CG340,AM340)</f>
        <v>213112</v>
      </c>
      <c r="CN340" s="80">
        <f>IF($BH340="",1,COUNTIF($BH$3:$BH340,$BH340))</f>
        <v>1</v>
      </c>
      <c r="CP340" t="str">
        <f>IF($K340="Standard Match","Match",IF($K340="Name Only Match",IF($CO340="Yes","Match","Name Only Match"),"No Match"))</f>
        <v>Match</v>
      </c>
      <c r="CQ340" s="35" t="str">
        <f>IF(AND(CP340="Match",CK340&gt;0,CL340&gt;0),"Y","N")</f>
        <v>Y</v>
      </c>
      <c r="CS340" t="str">
        <f>IF($CQ340="Y",VLOOKUP($CM340,'SBA Size Standards'!$B$3:$G$57,MATCH('SBA Size Standards'!$G$3,'SBA Size Standards'!$B$3:$G$3,0),FALSE),"")</f>
        <v>Revenue</v>
      </c>
      <c r="CT340" s="60">
        <f>IF(CQ340="Y",IF($CS340="Employment","N/A",VLOOKUP($CM340,'SBA Size Standards'!$B$3:$G$57,MATCH('SBA Size Standards'!$E$3,'SBA Size Standards'!$B$3:$G$3,0),FALSE)),"")</f>
        <v>41500000</v>
      </c>
      <c r="CU340" s="86" t="str">
        <f>IF($CQ340="Y",IF($CS340="Revenue","N/A",VLOOKUP($CM340,'SBA Size Standards'!$B$3:$G$57,MATCH('SBA Size Standards'!$F$3,'SBA Size Standards'!$B$3:$G$3,0),FALSE)),"")</f>
        <v>N/A</v>
      </c>
      <c r="CV340" t="str">
        <f>IF($CQ340="Y",IF(OR(AND($CS340="Employment",$CL340&lt;$CU340),AND($CS340="Revenue",$CK340&lt;$CT340)),"YES","NO"),"")</f>
        <v>YES</v>
      </c>
      <c r="CW340" s="90" t="str">
        <f>IF($CQ340="Y",INDEX('SBA Size Standards'!$N$3:$N$12,MATCH($CK340,'SBA Size Standards'!$O$3:$O$12,1)),"")</f>
        <v>$100,001 - $500,000</v>
      </c>
      <c r="CX340" s="122" t="s">
        <v>5064</v>
      </c>
      <c r="CY340" s="122">
        <f>INDEX('NM O&amp;G Production'!$P$3:$P$537,MATCH(CX340,'NM O&amp;G Production'!$Q$3:$Q$537,0))</f>
        <v>335</v>
      </c>
      <c r="CZ340" s="122" t="str">
        <f>INDEX('NM O&amp;G Production'!$O$3:$O$537,MATCH(CY340,'NM O&amp;G Production'!$P$3:$P$537,0))</f>
        <v>Yes</v>
      </c>
      <c r="DA340" s="127">
        <f>INDEX('NM O&amp;G Production'!$K$3:$O$537,MATCH($CY340,'NM O&amp;G Production'!$P$3:$P$537,0),MATCH(DA$2,'NM O&amp;G Production'!$K$2:$O$2,0))</f>
        <v>2</v>
      </c>
      <c r="DB340" s="127">
        <f>INDEX('NM O&amp;G Production'!$K$3:$O$537,MATCH($CY340,'NM O&amp;G Production'!$P$3:$P$537,0),MATCH(DB$2,'NM O&amp;G Production'!$K$2:$O$2,0))</f>
        <v>0</v>
      </c>
      <c r="DC340" s="127">
        <f>DA340+DB340</f>
        <v>2</v>
      </c>
      <c r="DD340" s="127">
        <f>INDEX('NM O&amp;G Production'!$K$3:$O$537,MATCH($CY340,'NM O&amp;G Production'!$P$3:$P$537,0),MATCH(DD$2,'NM O&amp;G Production'!$K$2:$O$2,0))</f>
        <v>14145</v>
      </c>
      <c r="DE340" s="127">
        <f>INDEX('NM O&amp;G Production'!$K$3:$O$537,MATCH($CY340,'NM O&amp;G Production'!$P$3:$P$537,0),MATCH(DE$2,'NM O&amp;G Production'!$K$2:$O$2,0))</f>
        <v>4971</v>
      </c>
      <c r="DF340" s="258">
        <f>CK340/(DB340+DA340)</f>
        <v>119668</v>
      </c>
      <c r="DG340" s="57">
        <f>DD340*(12/18)*1.06*'Oil and Gas Prices'!$C$18</f>
        <v>23889.962000000003</v>
      </c>
      <c r="DH340" s="284">
        <f>DE340*(12/18)*'Oil and Gas Prices'!$C$4</f>
        <v>149130</v>
      </c>
      <c r="DI340" s="284">
        <f>DG340+DH340</f>
        <v>173019.962</v>
      </c>
      <c r="DJ340" s="57">
        <f>(DG340+DH340)/(DA340+DB340)</f>
        <v>86509.981</v>
      </c>
      <c r="DK340" s="319"/>
    </row>
    <row r="341" spans="1:115" x14ac:dyDescent="0.25">
      <c r="A341" t="s">
        <v>3433</v>
      </c>
      <c r="B341" t="s">
        <v>3434</v>
      </c>
      <c r="D341" t="s">
        <v>2266</v>
      </c>
      <c r="E341" t="s">
        <v>84</v>
      </c>
      <c r="F341">
        <v>88221</v>
      </c>
      <c r="G341" t="s">
        <v>62</v>
      </c>
      <c r="I341">
        <v>507</v>
      </c>
      <c r="J341" t="s">
        <v>63</v>
      </c>
      <c r="K341" t="s">
        <v>4133</v>
      </c>
      <c r="L341" t="s">
        <v>149</v>
      </c>
      <c r="M341">
        <v>10</v>
      </c>
      <c r="N341" t="s">
        <v>3435</v>
      </c>
      <c r="O341" t="s">
        <v>3436</v>
      </c>
      <c r="Q341" t="s">
        <v>3437</v>
      </c>
      <c r="R341" t="s">
        <v>2266</v>
      </c>
      <c r="S341" t="s">
        <v>214</v>
      </c>
      <c r="T341" t="s">
        <v>3438</v>
      </c>
      <c r="U341" t="s">
        <v>62</v>
      </c>
      <c r="V341">
        <v>5752366041</v>
      </c>
      <c r="W341" s="1">
        <v>238855</v>
      </c>
      <c r="X341">
        <v>2</v>
      </c>
      <c r="Y341">
        <v>2</v>
      </c>
      <c r="Z341">
        <v>1990</v>
      </c>
      <c r="AA341" t="s">
        <v>70</v>
      </c>
      <c r="AB341" t="s">
        <v>3439</v>
      </c>
      <c r="AC341" t="s">
        <v>98</v>
      </c>
      <c r="AD341" t="s">
        <v>99</v>
      </c>
      <c r="AE341">
        <v>1311</v>
      </c>
      <c r="AF341" t="s">
        <v>100</v>
      </c>
      <c r="AI341">
        <v>13110101</v>
      </c>
      <c r="AJ341" t="s">
        <v>102</v>
      </c>
      <c r="AM341">
        <v>211120</v>
      </c>
      <c r="AN341" t="s">
        <v>104</v>
      </c>
      <c r="AQ341" t="s">
        <v>75</v>
      </c>
      <c r="AT341" t="s">
        <v>76</v>
      </c>
      <c r="BF341">
        <v>0</v>
      </c>
      <c r="BG341">
        <v>0</v>
      </c>
      <c r="CK341" s="19">
        <f>IF(BQ341&gt;0,BQ341,W341)</f>
        <v>238855</v>
      </c>
      <c r="CL341" s="20">
        <f>IF(BS341&gt;0,BS341,Y341)</f>
        <v>2</v>
      </c>
      <c r="CM341" s="34">
        <f>IF(CG341&gt;0,CG341,AM341)</f>
        <v>211120</v>
      </c>
      <c r="CN341" s="80">
        <f>IF($BH341="",1,COUNTIF($BH$3:$BH341,$BH341))</f>
        <v>1</v>
      </c>
      <c r="CP341" t="str">
        <f>IF($K341="Standard Match","Match",IF($K341="Name Only Match",IF($CO341="Yes","Match","Name Only Match"),"No Match"))</f>
        <v>Match</v>
      </c>
      <c r="CQ341" s="35" t="str">
        <f>IF(AND(CP341="Match",CK341&gt;0,CL341&gt;0),"Y","N")</f>
        <v>Y</v>
      </c>
      <c r="CS341" t="str">
        <f>IF($CQ341="Y",VLOOKUP($CM341,'SBA Size Standards'!$B$3:$G$57,MATCH('SBA Size Standards'!$G$3,'SBA Size Standards'!$B$3:$G$3,0),FALSE),"")</f>
        <v>Employment</v>
      </c>
      <c r="CT341" s="60" t="str">
        <f>IF(CQ341="Y",IF($CS341="Employment","N/A",VLOOKUP($CM341,'SBA Size Standards'!$B$3:$G$57,MATCH('SBA Size Standards'!$E$3,'SBA Size Standards'!$B$3:$G$3,0),FALSE)),"")</f>
        <v>N/A</v>
      </c>
      <c r="CU341" s="86">
        <f>IF($CQ341="Y",IF($CS341="Revenue","N/A",VLOOKUP($CM341,'SBA Size Standards'!$B$3:$G$57,MATCH('SBA Size Standards'!$F$3,'SBA Size Standards'!$B$3:$G$3,0),FALSE)),"")</f>
        <v>1250</v>
      </c>
      <c r="CV341" t="str">
        <f>IF($CQ341="Y",IF(OR(AND($CS341="Employment",$CL341&lt;$CU341),AND($CS341="Revenue",$CK341&lt;$CT341)),"YES","NO"),"")</f>
        <v>YES</v>
      </c>
      <c r="CW341" s="90" t="str">
        <f>IF($CQ341="Y",INDEX('SBA Size Standards'!$N$3:$N$12,MATCH($CK341,'SBA Size Standards'!$O$3:$O$12,1)),"")</f>
        <v>$100,001 - $500,000</v>
      </c>
      <c r="CX341" s="122" t="s">
        <v>4778</v>
      </c>
      <c r="CY341" s="122">
        <f>INDEX('NM O&amp;G Production'!$P$3:$P$537,MATCH(CX341,'NM O&amp;G Production'!$Q$3:$Q$537,0))</f>
        <v>507</v>
      </c>
      <c r="CZ341" s="122" t="str">
        <f>INDEX('NM O&amp;G Production'!$O$3:$O$537,MATCH(CY341,'NM O&amp;G Production'!$P$3:$P$537,0))</f>
        <v>Yes</v>
      </c>
      <c r="DA341" s="127">
        <f>INDEX('NM O&amp;G Production'!$K$3:$O$537,MATCH($CY341,'NM O&amp;G Production'!$P$3:$P$537,0),MATCH(DA$2,'NM O&amp;G Production'!$K$2:$O$2,0))</f>
        <v>0</v>
      </c>
      <c r="DB341" s="127">
        <f>INDEX('NM O&amp;G Production'!$K$3:$O$537,MATCH($CY341,'NM O&amp;G Production'!$P$3:$P$537,0),MATCH(DB$2,'NM O&amp;G Production'!$K$2:$O$2,0))</f>
        <v>1</v>
      </c>
      <c r="DC341" s="127">
        <f>DA341+DB341</f>
        <v>1</v>
      </c>
      <c r="DD341" s="127">
        <f>INDEX('NM O&amp;G Production'!$K$3:$O$537,MATCH($CY341,'NM O&amp;G Production'!$P$3:$P$537,0),MATCH(DD$2,'NM O&amp;G Production'!$K$2:$O$2,0))</f>
        <v>7109</v>
      </c>
      <c r="DE341" s="127">
        <f>INDEX('NM O&amp;G Production'!$K$3:$O$537,MATCH($CY341,'NM O&amp;G Production'!$P$3:$P$537,0),MATCH(DE$2,'NM O&amp;G Production'!$K$2:$O$2,0))</f>
        <v>738</v>
      </c>
      <c r="DF341" s="258">
        <f>CK341/(DB341+DA341)</f>
        <v>238855</v>
      </c>
      <c r="DG341" s="57">
        <f>DD341*(12/18)*1.06*'Oil and Gas Prices'!$C$18</f>
        <v>12006.627066666668</v>
      </c>
      <c r="DH341" s="284">
        <f>DE341*(12/18)*'Oil and Gas Prices'!$C$4</f>
        <v>22140</v>
      </c>
      <c r="DI341" s="284">
        <f>DG341+DH341</f>
        <v>34146.627066666668</v>
      </c>
      <c r="DJ341" s="57">
        <f>(DG341+DH341)/(DA341+DB341)</f>
        <v>34146.627066666668</v>
      </c>
      <c r="DK341" s="319"/>
    </row>
    <row r="342" spans="1:115" x14ac:dyDescent="0.25">
      <c r="A342" t="s">
        <v>1314</v>
      </c>
      <c r="B342" t="s">
        <v>1315</v>
      </c>
      <c r="D342" t="s">
        <v>112</v>
      </c>
      <c r="E342" t="s">
        <v>80</v>
      </c>
      <c r="F342">
        <v>77073</v>
      </c>
      <c r="G342" t="s">
        <v>62</v>
      </c>
      <c r="I342">
        <v>172</v>
      </c>
      <c r="J342" t="s">
        <v>89</v>
      </c>
      <c r="K342" t="s">
        <v>4133</v>
      </c>
      <c r="L342" t="s">
        <v>64</v>
      </c>
      <c r="M342">
        <v>10</v>
      </c>
      <c r="N342" t="s">
        <v>1316</v>
      </c>
      <c r="O342" t="s">
        <v>1317</v>
      </c>
      <c r="Q342" t="s">
        <v>1315</v>
      </c>
      <c r="R342" t="s">
        <v>112</v>
      </c>
      <c r="S342" t="s">
        <v>94</v>
      </c>
      <c r="T342" t="s">
        <v>1318</v>
      </c>
      <c r="U342" t="s">
        <v>62</v>
      </c>
      <c r="V342">
        <v>2814046071</v>
      </c>
      <c r="W342" s="1">
        <v>232573</v>
      </c>
      <c r="X342">
        <v>2</v>
      </c>
      <c r="Y342">
        <v>2</v>
      </c>
      <c r="Z342">
        <v>2010</v>
      </c>
      <c r="AA342" t="s">
        <v>70</v>
      </c>
      <c r="AB342" t="s">
        <v>1319</v>
      </c>
      <c r="AC342" t="s">
        <v>145</v>
      </c>
      <c r="AD342" t="s">
        <v>1320</v>
      </c>
      <c r="AE342">
        <v>2911</v>
      </c>
      <c r="AF342" t="s">
        <v>774</v>
      </c>
      <c r="AI342">
        <v>29110000</v>
      </c>
      <c r="AJ342" t="s">
        <v>1320</v>
      </c>
      <c r="AM342">
        <v>324110</v>
      </c>
      <c r="AN342" t="s">
        <v>776</v>
      </c>
      <c r="AQ342" t="s">
        <v>75</v>
      </c>
      <c r="AT342" t="s">
        <v>76</v>
      </c>
      <c r="BF342">
        <v>0</v>
      </c>
      <c r="BG342">
        <v>0</v>
      </c>
      <c r="CK342" s="19">
        <f>IF(BQ342&gt;0,BQ342,W342)</f>
        <v>232573</v>
      </c>
      <c r="CL342" s="20">
        <f>IF(BS342&gt;0,BS342,Y342)</f>
        <v>2</v>
      </c>
      <c r="CM342" s="34">
        <f>IF(CG342&gt;0,CG342,AM342)</f>
        <v>324110</v>
      </c>
      <c r="CN342" s="80">
        <f>IF($BH342="",1,COUNTIF($BH$3:$BH342,$BH342))</f>
        <v>1</v>
      </c>
      <c r="CP342" t="str">
        <f>IF($K342="Standard Match","Match",IF($K342="Name Only Match",IF($CO342="Yes","Match","Name Only Match"),"No Match"))</f>
        <v>Match</v>
      </c>
      <c r="CQ342" s="35" t="str">
        <f>IF(AND(CP342="Match",CK342&gt;0,CL342&gt;0),"Y","N")</f>
        <v>Y</v>
      </c>
      <c r="CS342" t="str">
        <f>IF($CQ342="Y",VLOOKUP($CM342,'SBA Size Standards'!$B$3:$G$57,MATCH('SBA Size Standards'!$G$3,'SBA Size Standards'!$B$3:$G$3,0),FALSE),"")</f>
        <v>Employment</v>
      </c>
      <c r="CT342" s="60" t="str">
        <f>IF(CQ342="Y",IF($CS342="Employment","N/A",VLOOKUP($CM342,'SBA Size Standards'!$B$3:$G$57,MATCH('SBA Size Standards'!$E$3,'SBA Size Standards'!$B$3:$G$3,0),FALSE)),"")</f>
        <v>N/A</v>
      </c>
      <c r="CU342" s="86">
        <f>IF($CQ342="Y",IF($CS342="Revenue","N/A",VLOOKUP($CM342,'SBA Size Standards'!$B$3:$G$57,MATCH('SBA Size Standards'!$F$3,'SBA Size Standards'!$B$3:$G$3,0),FALSE)),"")</f>
        <v>1500</v>
      </c>
      <c r="CV342" t="str">
        <f>IF($CQ342="Y",IF(OR(AND($CS342="Employment",$CL342&lt;$CU342),AND($CS342="Revenue",$CK342&lt;$CT342)),"YES","NO"),"")</f>
        <v>YES</v>
      </c>
      <c r="CW342" s="90" t="str">
        <f>IF($CQ342="Y",INDEX('SBA Size Standards'!$N$3:$N$12,MATCH($CK342,'SBA Size Standards'!$O$3:$O$12,1)),"")</f>
        <v>$100,001 - $500,000</v>
      </c>
      <c r="CX342" s="122" t="s">
        <v>4611</v>
      </c>
      <c r="CY342" s="122">
        <f>INDEX('NM O&amp;G Production'!$P$3:$P$537,MATCH(CX342,'NM O&amp;G Production'!$Q$3:$Q$537,0))</f>
        <v>172</v>
      </c>
      <c r="CZ342" s="122" t="str">
        <f>INDEX('NM O&amp;G Production'!$O$3:$O$537,MATCH(CY342,'NM O&amp;G Production'!$P$3:$P$537,0))</f>
        <v>Yes</v>
      </c>
      <c r="DA342" s="127">
        <f>INDEX('NM O&amp;G Production'!$K$3:$O$537,MATCH($CY342,'NM O&amp;G Production'!$P$3:$P$537,0),MATCH(DA$2,'NM O&amp;G Production'!$K$2:$O$2,0))</f>
        <v>4</v>
      </c>
      <c r="DB342" s="127">
        <f>INDEX('NM O&amp;G Production'!$K$3:$O$537,MATCH($CY342,'NM O&amp;G Production'!$P$3:$P$537,0),MATCH(DB$2,'NM O&amp;G Production'!$K$2:$O$2,0))</f>
        <v>35</v>
      </c>
      <c r="DC342" s="127">
        <f>DA342+DB342</f>
        <v>39</v>
      </c>
      <c r="DD342" s="127">
        <f>INDEX('NM O&amp;G Production'!$K$3:$O$537,MATCH($CY342,'NM O&amp;G Production'!$P$3:$P$537,0),MATCH(DD$2,'NM O&amp;G Production'!$K$2:$O$2,0))</f>
        <v>66151</v>
      </c>
      <c r="DE342" s="127">
        <f>INDEX('NM O&amp;G Production'!$K$3:$O$537,MATCH($CY342,'NM O&amp;G Production'!$P$3:$P$537,0),MATCH(DE$2,'NM O&amp;G Production'!$K$2:$O$2,0))</f>
        <v>16397</v>
      </c>
      <c r="DF342" s="258">
        <f>CK342/(DB342+DA342)</f>
        <v>5963.4102564102568</v>
      </c>
      <c r="DG342" s="57">
        <f>DD342*(12/18)*1.06*'Oil and Gas Prices'!$C$18</f>
        <v>111724.62893333334</v>
      </c>
      <c r="DH342" s="284">
        <f>DE342*(12/18)*'Oil and Gas Prices'!$C$4</f>
        <v>491909.99999999994</v>
      </c>
      <c r="DI342" s="284">
        <f>DG342+DH342</f>
        <v>603634.62893333333</v>
      </c>
      <c r="DJ342" s="57">
        <f>(DG342+DH342)/(DA342+DB342)</f>
        <v>15477.810998290599</v>
      </c>
      <c r="DK342" s="318"/>
    </row>
    <row r="343" spans="1:115" x14ac:dyDescent="0.25">
      <c r="A343" t="s">
        <v>1419</v>
      </c>
      <c r="B343" t="s">
        <v>899</v>
      </c>
      <c r="D343" t="s">
        <v>153</v>
      </c>
      <c r="E343" t="s">
        <v>80</v>
      </c>
      <c r="F343">
        <v>79705</v>
      </c>
      <c r="G343" t="s">
        <v>62</v>
      </c>
      <c r="I343">
        <v>190</v>
      </c>
      <c r="J343" t="s">
        <v>63</v>
      </c>
      <c r="K343" t="s">
        <v>4133</v>
      </c>
      <c r="L343" t="s">
        <v>64</v>
      </c>
      <c r="M343">
        <v>10</v>
      </c>
      <c r="N343" t="s">
        <v>1420</v>
      </c>
      <c r="O343" t="s">
        <v>1421</v>
      </c>
      <c r="Q343" t="s">
        <v>1422</v>
      </c>
      <c r="R343" t="s">
        <v>153</v>
      </c>
      <c r="S343" t="s">
        <v>94</v>
      </c>
      <c r="T343" t="s">
        <v>1423</v>
      </c>
      <c r="U343" t="s">
        <v>62</v>
      </c>
      <c r="V343">
        <v>4326821044</v>
      </c>
      <c r="W343" s="1">
        <v>230462</v>
      </c>
      <c r="X343">
        <v>2</v>
      </c>
      <c r="Y343">
        <v>2</v>
      </c>
      <c r="Z343">
        <v>1977</v>
      </c>
      <c r="AA343" t="s">
        <v>70</v>
      </c>
      <c r="AB343" t="s">
        <v>1424</v>
      </c>
      <c r="AC343" t="s">
        <v>98</v>
      </c>
      <c r="AD343" t="s">
        <v>99</v>
      </c>
      <c r="AE343">
        <v>1311</v>
      </c>
      <c r="AF343" t="s">
        <v>100</v>
      </c>
      <c r="AI343">
        <v>13110101</v>
      </c>
      <c r="AJ343" t="s">
        <v>102</v>
      </c>
      <c r="AM343">
        <v>211120</v>
      </c>
      <c r="AN343" t="s">
        <v>104</v>
      </c>
      <c r="AQ343" t="s">
        <v>75</v>
      </c>
      <c r="AT343" t="s">
        <v>76</v>
      </c>
      <c r="BF343">
        <v>0</v>
      </c>
      <c r="BG343">
        <v>0</v>
      </c>
      <c r="CK343" s="19">
        <f>IF(BQ343&gt;0,BQ343,W343)</f>
        <v>230462</v>
      </c>
      <c r="CL343" s="20">
        <f>IF(BS343&gt;0,BS343,Y343)</f>
        <v>2</v>
      </c>
      <c r="CM343" s="34">
        <f>IF(CG343&gt;0,CG343,AM343)</f>
        <v>211120</v>
      </c>
      <c r="CN343" s="80">
        <f>IF($BH343="",1,COUNTIF($BH$3:$BH343,$BH343))</f>
        <v>1</v>
      </c>
      <c r="CP343" t="str">
        <f>IF($K343="Standard Match","Match",IF($K343="Name Only Match",IF($CO343="Yes","Match","Name Only Match"),"No Match"))</f>
        <v>Match</v>
      </c>
      <c r="CQ343" s="35" t="str">
        <f>IF(AND(CP343="Match",CK343&gt;0,CL343&gt;0),"Y","N")</f>
        <v>Y</v>
      </c>
      <c r="CS343" t="str">
        <f>IF($CQ343="Y",VLOOKUP($CM343,'SBA Size Standards'!$B$3:$G$57,MATCH('SBA Size Standards'!$G$3,'SBA Size Standards'!$B$3:$G$3,0),FALSE),"")</f>
        <v>Employment</v>
      </c>
      <c r="CT343" s="60" t="str">
        <f>IF(CQ343="Y",IF($CS343="Employment","N/A",VLOOKUP($CM343,'SBA Size Standards'!$B$3:$G$57,MATCH('SBA Size Standards'!$E$3,'SBA Size Standards'!$B$3:$G$3,0),FALSE)),"")</f>
        <v>N/A</v>
      </c>
      <c r="CU343" s="86">
        <f>IF($CQ343="Y",IF($CS343="Revenue","N/A",VLOOKUP($CM343,'SBA Size Standards'!$B$3:$G$57,MATCH('SBA Size Standards'!$F$3,'SBA Size Standards'!$B$3:$G$3,0),FALSE)),"")</f>
        <v>1250</v>
      </c>
      <c r="CV343" t="str">
        <f>IF($CQ343="Y",IF(OR(AND($CS343="Employment",$CL343&lt;$CU343),AND($CS343="Revenue",$CK343&lt;$CT343)),"YES","NO"),"")</f>
        <v>YES</v>
      </c>
      <c r="CW343" s="90" t="str">
        <f>IF($CQ343="Y",INDEX('SBA Size Standards'!$N$3:$N$12,MATCH($CK343,'SBA Size Standards'!$O$3:$O$12,1)),"")</f>
        <v>$100,001 - $500,000</v>
      </c>
      <c r="CX343" s="122" t="s">
        <v>4619</v>
      </c>
      <c r="CY343" s="122">
        <f>INDEX('NM O&amp;G Production'!$P$3:$P$537,MATCH(CX343,'NM O&amp;G Production'!$Q$3:$Q$537,0))</f>
        <v>190</v>
      </c>
      <c r="CZ343" s="122" t="str">
        <f>INDEX('NM O&amp;G Production'!$O$3:$O$537,MATCH(CY343,'NM O&amp;G Production'!$P$3:$P$537,0))</f>
        <v>Yes</v>
      </c>
      <c r="DA343" s="127">
        <f>INDEX('NM O&amp;G Production'!$K$3:$O$537,MATCH($CY343,'NM O&amp;G Production'!$P$3:$P$537,0),MATCH(DA$2,'NM O&amp;G Production'!$K$2:$O$2,0))</f>
        <v>2</v>
      </c>
      <c r="DB343" s="127">
        <f>INDEX('NM O&amp;G Production'!$K$3:$O$537,MATCH($CY343,'NM O&amp;G Production'!$P$3:$P$537,0),MATCH(DB$2,'NM O&amp;G Production'!$K$2:$O$2,0))</f>
        <v>6</v>
      </c>
      <c r="DC343" s="127">
        <f>DA343+DB343</f>
        <v>8</v>
      </c>
      <c r="DD343" s="127">
        <f>INDEX('NM O&amp;G Production'!$K$3:$O$537,MATCH($CY343,'NM O&amp;G Production'!$P$3:$P$537,0),MATCH(DD$2,'NM O&amp;G Production'!$K$2:$O$2,0))</f>
        <v>0</v>
      </c>
      <c r="DE343" s="127">
        <f>INDEX('NM O&amp;G Production'!$K$3:$O$537,MATCH($CY343,'NM O&amp;G Production'!$P$3:$P$537,0),MATCH(DE$2,'NM O&amp;G Production'!$K$2:$O$2,0))</f>
        <v>14023</v>
      </c>
      <c r="DF343" s="258">
        <f>CK343/(DB343+DA343)</f>
        <v>28807.75</v>
      </c>
      <c r="DG343" s="57">
        <f>DD343*(12/18)*1.06*'Oil and Gas Prices'!$C$18</f>
        <v>0</v>
      </c>
      <c r="DH343" s="284">
        <f>DE343*(12/18)*'Oil and Gas Prices'!$C$4</f>
        <v>420690</v>
      </c>
      <c r="DI343" s="284">
        <f>DG343+DH343</f>
        <v>420690</v>
      </c>
      <c r="DJ343" s="57">
        <f>(DG343+DH343)/(DA343+DB343)</f>
        <v>52586.25</v>
      </c>
      <c r="DK343" s="318"/>
    </row>
    <row r="344" spans="1:115" x14ac:dyDescent="0.25">
      <c r="A344" t="s">
        <v>2818</v>
      </c>
      <c r="B344" t="s">
        <v>592</v>
      </c>
      <c r="D344" t="s">
        <v>593</v>
      </c>
      <c r="E344" t="s">
        <v>84</v>
      </c>
      <c r="F344">
        <v>87410</v>
      </c>
      <c r="G344" t="s">
        <v>62</v>
      </c>
      <c r="I344">
        <v>409</v>
      </c>
      <c r="J344" t="s">
        <v>404</v>
      </c>
      <c r="K344" t="s">
        <v>4133</v>
      </c>
      <c r="L344" t="s">
        <v>149</v>
      </c>
      <c r="M344">
        <v>10</v>
      </c>
      <c r="N344" t="s">
        <v>2819</v>
      </c>
      <c r="O344" t="s">
        <v>2820</v>
      </c>
      <c r="Q344" t="s">
        <v>1524</v>
      </c>
      <c r="R344" t="s">
        <v>123</v>
      </c>
      <c r="S344" t="s">
        <v>214</v>
      </c>
      <c r="T344" t="s">
        <v>1525</v>
      </c>
      <c r="U344" t="s">
        <v>62</v>
      </c>
      <c r="V344">
        <v>5053263328</v>
      </c>
      <c r="W344" s="1">
        <v>230000</v>
      </c>
      <c r="X344">
        <v>2</v>
      </c>
      <c r="Y344">
        <v>2</v>
      </c>
      <c r="AA344" t="s">
        <v>70</v>
      </c>
      <c r="AB344" t="s">
        <v>2821</v>
      </c>
      <c r="AC344" t="s">
        <v>98</v>
      </c>
      <c r="AD344" t="s">
        <v>119</v>
      </c>
      <c r="AE344">
        <v>1382</v>
      </c>
      <c r="AF344" t="s">
        <v>120</v>
      </c>
      <c r="AI344">
        <v>13820000</v>
      </c>
      <c r="AJ344" t="s">
        <v>119</v>
      </c>
      <c r="AM344">
        <v>213112</v>
      </c>
      <c r="AN344" t="s">
        <v>74</v>
      </c>
      <c r="AQ344" t="s">
        <v>75</v>
      </c>
      <c r="AT344" t="s">
        <v>76</v>
      </c>
      <c r="BF344">
        <v>0</v>
      </c>
      <c r="BG344">
        <v>0</v>
      </c>
      <c r="CK344" s="19">
        <f>IF(BQ344&gt;0,BQ344,W344)</f>
        <v>230000</v>
      </c>
      <c r="CL344" s="20">
        <f>IF(BS344&gt;0,BS344,Y344)</f>
        <v>2</v>
      </c>
      <c r="CM344" s="34">
        <f>IF(CG344&gt;0,CG344,AM344)</f>
        <v>213112</v>
      </c>
      <c r="CN344" s="80">
        <f>IF($BH344="",1,COUNTIF($BH$3:$BH344,$BH344))</f>
        <v>1</v>
      </c>
      <c r="CP344" t="str">
        <f>IF($K344="Standard Match","Match",IF($K344="Name Only Match",IF($CO344="Yes","Match","Name Only Match"),"No Match"))</f>
        <v>Match</v>
      </c>
      <c r="CQ344" s="35" t="str">
        <f>IF(AND(CP344="Match",CK344&gt;0,CL344&gt;0),"Y","N")</f>
        <v>Y</v>
      </c>
      <c r="CS344" t="str">
        <f>IF($CQ344="Y",VLOOKUP($CM344,'SBA Size Standards'!$B$3:$G$57,MATCH('SBA Size Standards'!$G$3,'SBA Size Standards'!$B$3:$G$3,0),FALSE),"")</f>
        <v>Revenue</v>
      </c>
      <c r="CT344" s="60">
        <f>IF(CQ344="Y",IF($CS344="Employment","N/A",VLOOKUP($CM344,'SBA Size Standards'!$B$3:$G$57,MATCH('SBA Size Standards'!$E$3,'SBA Size Standards'!$B$3:$G$3,0),FALSE)),"")</f>
        <v>41500000</v>
      </c>
      <c r="CU344" s="86" t="str">
        <f>IF($CQ344="Y",IF($CS344="Revenue","N/A",VLOOKUP($CM344,'SBA Size Standards'!$B$3:$G$57,MATCH('SBA Size Standards'!$F$3,'SBA Size Standards'!$B$3:$G$3,0),FALSE)),"")</f>
        <v>N/A</v>
      </c>
      <c r="CV344" t="str">
        <f>IF($CQ344="Y",IF(OR(AND($CS344="Employment",$CL344&lt;$CU344),AND($CS344="Revenue",$CK344&lt;$CT344)),"YES","NO"),"")</f>
        <v>YES</v>
      </c>
      <c r="CW344" s="90" t="str">
        <f>IF($CQ344="Y",INDEX('SBA Size Standards'!$N$3:$N$12,MATCH($CK344,'SBA Size Standards'!$O$3:$O$12,1)),"")</f>
        <v>$100,001 - $500,000</v>
      </c>
      <c r="CX344" s="122" t="s">
        <v>4731</v>
      </c>
      <c r="CY344" s="122">
        <f>INDEX('NM O&amp;G Production'!$P$3:$P$537,MATCH(CX344,'NM O&amp;G Production'!$Q$3:$Q$537,0))</f>
        <v>409</v>
      </c>
      <c r="CZ344" s="122" t="str">
        <f>INDEX('NM O&amp;G Production'!$O$3:$O$537,MATCH(CY344,'NM O&amp;G Production'!$P$3:$P$537,0))</f>
        <v>Yes</v>
      </c>
      <c r="DA344" s="127">
        <f>INDEX('NM O&amp;G Production'!$K$3:$O$537,MATCH($CY344,'NM O&amp;G Production'!$P$3:$P$537,0),MATCH(DA$2,'NM O&amp;G Production'!$K$2:$O$2,0))</f>
        <v>0</v>
      </c>
      <c r="DB344" s="127">
        <f>INDEX('NM O&amp;G Production'!$K$3:$O$537,MATCH($CY344,'NM O&amp;G Production'!$P$3:$P$537,0),MATCH(DB$2,'NM O&amp;G Production'!$K$2:$O$2,0))</f>
        <v>1</v>
      </c>
      <c r="DC344" s="127">
        <f>DA344+DB344</f>
        <v>1</v>
      </c>
      <c r="DD344" s="127">
        <f>INDEX('NM O&amp;G Production'!$K$3:$O$537,MATCH($CY344,'NM O&amp;G Production'!$P$3:$P$537,0),MATCH(DD$2,'NM O&amp;G Production'!$K$2:$O$2,0))</f>
        <v>14619</v>
      </c>
      <c r="DE344" s="127">
        <f>INDEX('NM O&amp;G Production'!$K$3:$O$537,MATCH($CY344,'NM O&amp;G Production'!$P$3:$P$537,0),MATCH(DE$2,'NM O&amp;G Production'!$K$2:$O$2,0))</f>
        <v>0</v>
      </c>
      <c r="DF344" s="258">
        <f>CK344/(DB344+DA344)</f>
        <v>230000</v>
      </c>
      <c r="DG344" s="57">
        <f>DD344*(12/18)*1.06*'Oil and Gas Prices'!$C$18</f>
        <v>24690.5164</v>
      </c>
      <c r="DH344" s="284">
        <f>DE344*(12/18)*'Oil and Gas Prices'!$C$4</f>
        <v>0</v>
      </c>
      <c r="DI344" s="284">
        <f>DG344+DH344</f>
        <v>24690.5164</v>
      </c>
      <c r="DJ344" s="57">
        <f>(DG344+DH344)/(DA344+DB344)</f>
        <v>24690.5164</v>
      </c>
      <c r="DK344" s="319"/>
    </row>
    <row r="345" spans="1:115" x14ac:dyDescent="0.25">
      <c r="A345" t="s">
        <v>1052</v>
      </c>
      <c r="B345" t="s">
        <v>1053</v>
      </c>
      <c r="D345" t="s">
        <v>206</v>
      </c>
      <c r="E345" t="s">
        <v>84</v>
      </c>
      <c r="F345">
        <v>82240</v>
      </c>
      <c r="G345" t="s">
        <v>62</v>
      </c>
      <c r="I345">
        <v>139</v>
      </c>
      <c r="J345" t="s">
        <v>63</v>
      </c>
      <c r="K345" t="s">
        <v>4133</v>
      </c>
      <c r="L345" t="s">
        <v>64</v>
      </c>
      <c r="M345">
        <v>10</v>
      </c>
      <c r="N345" t="s">
        <v>1054</v>
      </c>
      <c r="O345" t="s">
        <v>1055</v>
      </c>
      <c r="Q345" t="s">
        <v>1056</v>
      </c>
      <c r="R345" t="s">
        <v>206</v>
      </c>
      <c r="S345" t="s">
        <v>214</v>
      </c>
      <c r="T345" t="s">
        <v>1057</v>
      </c>
      <c r="U345" t="s">
        <v>62</v>
      </c>
      <c r="V345">
        <v>5753903100</v>
      </c>
      <c r="W345" s="1">
        <v>225371</v>
      </c>
      <c r="X345">
        <v>5</v>
      </c>
      <c r="Y345">
        <v>5</v>
      </c>
      <c r="Z345">
        <v>2005</v>
      </c>
      <c r="AA345" t="s">
        <v>70</v>
      </c>
      <c r="AB345" t="s">
        <v>1058</v>
      </c>
      <c r="AC345" t="s">
        <v>231</v>
      </c>
      <c r="AD345" t="s">
        <v>71</v>
      </c>
      <c r="AE345">
        <v>1389</v>
      </c>
      <c r="AF345" t="s">
        <v>72</v>
      </c>
      <c r="AI345">
        <v>13899905</v>
      </c>
      <c r="AJ345" t="s">
        <v>529</v>
      </c>
      <c r="AM345">
        <v>213112</v>
      </c>
      <c r="AN345" t="s">
        <v>74</v>
      </c>
      <c r="AQ345" t="s">
        <v>75</v>
      </c>
      <c r="AT345" t="s">
        <v>76</v>
      </c>
      <c r="BF345">
        <v>0</v>
      </c>
      <c r="BG345">
        <v>0</v>
      </c>
      <c r="CK345" s="19">
        <f>IF(BQ345&gt;0,BQ345,W345)</f>
        <v>225371</v>
      </c>
      <c r="CL345" s="20">
        <f>IF(BS345&gt;0,BS345,Y345)</f>
        <v>5</v>
      </c>
      <c r="CM345" s="34">
        <f>IF(CG345&gt;0,CG345,AM345)</f>
        <v>213112</v>
      </c>
      <c r="CN345" s="80">
        <f>IF($BH345="",1,COUNTIF($BH$3:$BH345,$BH345))</f>
        <v>1</v>
      </c>
      <c r="CP345" t="str">
        <f>IF($K345="Standard Match","Match",IF($K345="Name Only Match",IF($CO345="Yes","Match","Name Only Match"),"No Match"))</f>
        <v>Match</v>
      </c>
      <c r="CQ345" s="35" t="str">
        <f>IF(AND(CP345="Match",CK345&gt;0,CL345&gt;0),"Y","N")</f>
        <v>Y</v>
      </c>
      <c r="CS345" t="str">
        <f>IF($CQ345="Y",VLOOKUP($CM345,'SBA Size Standards'!$B$3:$G$57,MATCH('SBA Size Standards'!$G$3,'SBA Size Standards'!$B$3:$G$3,0),FALSE),"")</f>
        <v>Revenue</v>
      </c>
      <c r="CT345" s="60">
        <f>IF(CQ345="Y",IF($CS345="Employment","N/A",VLOOKUP($CM345,'SBA Size Standards'!$B$3:$G$57,MATCH('SBA Size Standards'!$E$3,'SBA Size Standards'!$B$3:$G$3,0),FALSE)),"")</f>
        <v>41500000</v>
      </c>
      <c r="CU345" s="86" t="str">
        <f>IF($CQ345="Y",IF($CS345="Revenue","N/A",VLOOKUP($CM345,'SBA Size Standards'!$B$3:$G$57,MATCH('SBA Size Standards'!$F$3,'SBA Size Standards'!$B$3:$G$3,0),FALSE)),"")</f>
        <v>N/A</v>
      </c>
      <c r="CV345" t="str">
        <f>IF($CQ345="Y",IF(OR(AND($CS345="Employment",$CL345&lt;$CU345),AND($CS345="Revenue",$CK345&lt;$CT345)),"YES","NO"),"")</f>
        <v>YES</v>
      </c>
      <c r="CW345" s="90" t="str">
        <f>IF($CQ345="Y",INDEX('SBA Size Standards'!$N$3:$N$12,MATCH($CK345,'SBA Size Standards'!$O$3:$O$12,1)),"")</f>
        <v>$100,001 - $500,000</v>
      </c>
      <c r="CX345" s="122" t="s">
        <v>4595</v>
      </c>
      <c r="CY345" s="122">
        <f>INDEX('NM O&amp;G Production'!$P$3:$P$537,MATCH(CX345,'NM O&amp;G Production'!$Q$3:$Q$537,0))</f>
        <v>139</v>
      </c>
      <c r="CZ345" s="122" t="str">
        <f>INDEX('NM O&amp;G Production'!$O$3:$O$537,MATCH(CY345,'NM O&amp;G Production'!$P$3:$P$537,0))</f>
        <v>Yes</v>
      </c>
      <c r="DA345" s="127">
        <f>INDEX('NM O&amp;G Production'!$K$3:$O$537,MATCH($CY345,'NM O&amp;G Production'!$P$3:$P$537,0),MATCH(DA$2,'NM O&amp;G Production'!$K$2:$O$2,0))</f>
        <v>1</v>
      </c>
      <c r="DB345" s="127">
        <f>INDEX('NM O&amp;G Production'!$K$3:$O$537,MATCH($CY345,'NM O&amp;G Production'!$P$3:$P$537,0),MATCH(DB$2,'NM O&amp;G Production'!$K$2:$O$2,0))</f>
        <v>4</v>
      </c>
      <c r="DC345" s="127">
        <f>DA345+DB345</f>
        <v>5</v>
      </c>
      <c r="DD345" s="127">
        <f>INDEX('NM O&amp;G Production'!$K$3:$O$537,MATCH($CY345,'NM O&amp;G Production'!$P$3:$P$537,0),MATCH(DD$2,'NM O&amp;G Production'!$K$2:$O$2,0))</f>
        <v>124101</v>
      </c>
      <c r="DE345" s="127">
        <f>INDEX('NM O&amp;G Production'!$K$3:$O$537,MATCH($CY345,'NM O&amp;G Production'!$P$3:$P$537,0),MATCH(DE$2,'NM O&amp;G Production'!$K$2:$O$2,0))</f>
        <v>7465</v>
      </c>
      <c r="DF345" s="258">
        <f>CK345/(DB345+DA345)</f>
        <v>45074.2</v>
      </c>
      <c r="DG345" s="57">
        <f>DD345*(12/18)*1.06*'Oil and Gas Prices'!$C$18</f>
        <v>209598.31560000003</v>
      </c>
      <c r="DH345" s="284">
        <f>DE345*(12/18)*'Oil and Gas Prices'!$C$4</f>
        <v>223949.99999999997</v>
      </c>
      <c r="DI345" s="284">
        <f>DG345+DH345</f>
        <v>433548.31559999997</v>
      </c>
      <c r="DJ345" s="57">
        <f>(DG345+DH345)/(DA345+DB345)</f>
        <v>86709.663119999997</v>
      </c>
      <c r="DK345" s="318"/>
    </row>
    <row r="346" spans="1:115" x14ac:dyDescent="0.25">
      <c r="A346" t="s">
        <v>181</v>
      </c>
      <c r="B346" t="s">
        <v>182</v>
      </c>
      <c r="D346" t="s">
        <v>183</v>
      </c>
      <c r="E346" t="s">
        <v>184</v>
      </c>
      <c r="F346">
        <v>74136</v>
      </c>
      <c r="G346" t="s">
        <v>62</v>
      </c>
      <c r="I346">
        <v>16</v>
      </c>
      <c r="J346" t="s">
        <v>63</v>
      </c>
      <c r="K346" t="s">
        <v>4133</v>
      </c>
      <c r="L346" t="s">
        <v>113</v>
      </c>
      <c r="M346">
        <v>8</v>
      </c>
      <c r="N346" t="s">
        <v>185</v>
      </c>
      <c r="O346" t="s">
        <v>186</v>
      </c>
      <c r="Q346" t="s">
        <v>187</v>
      </c>
      <c r="R346" t="s">
        <v>183</v>
      </c>
      <c r="S346" t="s">
        <v>188</v>
      </c>
      <c r="T346" t="s">
        <v>189</v>
      </c>
      <c r="U346" t="s">
        <v>62</v>
      </c>
      <c r="W346" s="1">
        <v>219512</v>
      </c>
      <c r="X346">
        <v>3</v>
      </c>
      <c r="Y346">
        <v>3</v>
      </c>
      <c r="Z346">
        <v>2010</v>
      </c>
      <c r="AA346" t="s">
        <v>70</v>
      </c>
      <c r="AD346" t="s">
        <v>190</v>
      </c>
      <c r="AE346">
        <v>5984</v>
      </c>
      <c r="AF346" t="s">
        <v>191</v>
      </c>
      <c r="AI346">
        <v>59849903</v>
      </c>
      <c r="AJ346" t="s">
        <v>192</v>
      </c>
      <c r="AM346">
        <v>454310</v>
      </c>
      <c r="AN346" t="s">
        <v>193</v>
      </c>
      <c r="AQ346" t="s">
        <v>75</v>
      </c>
      <c r="AT346" t="s">
        <v>76</v>
      </c>
      <c r="BF346">
        <v>0</v>
      </c>
      <c r="BG346">
        <v>0</v>
      </c>
      <c r="CK346" s="19">
        <f>IF(BQ346&gt;0,BQ346,W346)</f>
        <v>219512</v>
      </c>
      <c r="CL346" s="20">
        <f>IF(BS346&gt;0,BS346,Y346)</f>
        <v>3</v>
      </c>
      <c r="CM346" s="34">
        <f>IF(CG346&gt;0,CG346,AM346)</f>
        <v>454310</v>
      </c>
      <c r="CN346" s="80">
        <f>IF($BH346="",1,COUNTIF($BH$3:$BH346,$BH346))</f>
        <v>1</v>
      </c>
      <c r="CP346" t="str">
        <f>IF($K346="Standard Match","Match",IF($K346="Name Only Match",IF($CO346="Yes","Match","Name Only Match"),"No Match"))</f>
        <v>Match</v>
      </c>
      <c r="CQ346" s="35" t="str">
        <f>IF(AND(CP346="Match",CK346&gt;0,CL346&gt;0),"Y","N")</f>
        <v>Y</v>
      </c>
      <c r="CS346" t="str">
        <f>IF($CQ346="Y",VLOOKUP($CM346,'SBA Size Standards'!$B$3:$G$57,MATCH('SBA Size Standards'!$G$3,'SBA Size Standards'!$B$3:$G$3,0),FALSE),"")</f>
        <v>Employment</v>
      </c>
      <c r="CT346" s="60" t="str">
        <f>IF(CQ346="Y",IF($CS346="Employment","N/A",VLOOKUP($CM346,'SBA Size Standards'!$B$3:$G$57,MATCH('SBA Size Standards'!$E$3,'SBA Size Standards'!$B$3:$G$3,0),FALSE)),"")</f>
        <v>N/A</v>
      </c>
      <c r="CU346" s="86">
        <f>IF($CQ346="Y",IF($CS346="Revenue","N/A",VLOOKUP($CM346,'SBA Size Standards'!$B$3:$G$57,MATCH('SBA Size Standards'!$F$3,'SBA Size Standards'!$B$3:$G$3,0),FALSE)),"")</f>
        <v>100</v>
      </c>
      <c r="CV346" t="str">
        <f>IF($CQ346="Y",IF(OR(AND($CS346="Employment",$CL346&lt;$CU346),AND($CS346="Revenue",$CK346&lt;$CT346)),"YES","NO"),"")</f>
        <v>YES</v>
      </c>
      <c r="CW346" s="90" t="str">
        <f>IF($CQ346="Y",INDEX('SBA Size Standards'!$N$3:$N$12,MATCH($CK346,'SBA Size Standards'!$O$3:$O$12,1)),"")</f>
        <v>$100,001 - $500,000</v>
      </c>
      <c r="CX346" s="122" t="s">
        <v>4802</v>
      </c>
      <c r="CY346" s="122">
        <f>INDEX('NM O&amp;G Production'!$P$3:$P$537,MATCH(CX346,'NM O&amp;G Production'!$Q$3:$Q$537,0))</f>
        <v>16</v>
      </c>
      <c r="CZ346" s="122" t="str">
        <f>INDEX('NM O&amp;G Production'!$O$3:$O$537,MATCH(CY346,'NM O&amp;G Production'!$P$3:$P$537,0))</f>
        <v>No</v>
      </c>
      <c r="DA346" s="127">
        <f>INDEX('NM O&amp;G Production'!$K$3:$O$537,MATCH($CY346,'NM O&amp;G Production'!$P$3:$P$537,0),MATCH(DA$2,'NM O&amp;G Production'!$K$2:$O$2,0))</f>
        <v>0</v>
      </c>
      <c r="DB346" s="127">
        <f>INDEX('NM O&amp;G Production'!$K$3:$O$537,MATCH($CY346,'NM O&amp;G Production'!$P$3:$P$537,0),MATCH(DB$2,'NM O&amp;G Production'!$K$2:$O$2,0))</f>
        <v>0</v>
      </c>
      <c r="DC346" s="127"/>
      <c r="DD346" s="127">
        <f>INDEX('NM O&amp;G Production'!$K$3:$O$537,MATCH($CY346,'NM O&amp;G Production'!$P$3:$P$537,0),MATCH(DD$2,'NM O&amp;G Production'!$K$2:$O$2,0))</f>
        <v>0</v>
      </c>
      <c r="DE346" s="127">
        <f>INDEX('NM O&amp;G Production'!$K$3:$O$537,MATCH($CY346,'NM O&amp;G Production'!$P$3:$P$537,0),MATCH(DE$2,'NM O&amp;G Production'!$K$2:$O$2,0))</f>
        <v>0</v>
      </c>
      <c r="DF346" s="258" t="e">
        <f>CK346/(DB346+DA346)</f>
        <v>#DIV/0!</v>
      </c>
      <c r="DG346" s="57">
        <f>DD346*(12/18)*1.06*'Oil and Gas Prices'!$C$18</f>
        <v>0</v>
      </c>
      <c r="DH346" s="284">
        <f>DE346*(12/18)*'Oil and Gas Prices'!$C$4</f>
        <v>0</v>
      </c>
      <c r="DI346" s="284"/>
      <c r="DJ346" s="57" t="e">
        <f>(DG346+DH346)/(DA346+DB346)</f>
        <v>#DIV/0!</v>
      </c>
      <c r="DK346" s="18" t="e">
        <f>CK346/DI346</f>
        <v>#DIV/0!</v>
      </c>
    </row>
    <row r="347" spans="1:115" x14ac:dyDescent="0.25">
      <c r="A347" t="s">
        <v>1341</v>
      </c>
      <c r="B347" t="s">
        <v>1342</v>
      </c>
      <c r="D347" t="s">
        <v>378</v>
      </c>
      <c r="E347" t="s">
        <v>80</v>
      </c>
      <c r="F347">
        <v>75243</v>
      </c>
      <c r="G347" t="s">
        <v>62</v>
      </c>
      <c r="I347">
        <v>177</v>
      </c>
      <c r="J347" t="s">
        <v>63</v>
      </c>
      <c r="K347" t="s">
        <v>4133</v>
      </c>
      <c r="L347" t="s">
        <v>113</v>
      </c>
      <c r="M347">
        <v>8</v>
      </c>
      <c r="N347" t="s">
        <v>1343</v>
      </c>
      <c r="O347" t="s">
        <v>1344</v>
      </c>
      <c r="Q347" t="s">
        <v>1345</v>
      </c>
      <c r="R347" t="s">
        <v>378</v>
      </c>
      <c r="S347" t="s">
        <v>94</v>
      </c>
      <c r="T347" t="s">
        <v>1346</v>
      </c>
      <c r="U347" t="s">
        <v>62</v>
      </c>
      <c r="V347">
        <v>2146919436</v>
      </c>
      <c r="W347" s="1">
        <v>218957</v>
      </c>
      <c r="X347">
        <v>6</v>
      </c>
      <c r="Y347">
        <v>6</v>
      </c>
      <c r="Z347">
        <v>2012</v>
      </c>
      <c r="AA347" t="s">
        <v>70</v>
      </c>
      <c r="AB347" t="s">
        <v>1347</v>
      </c>
      <c r="AC347" t="s">
        <v>231</v>
      </c>
      <c r="AD347" t="s">
        <v>1235</v>
      </c>
      <c r="AE347">
        <v>4911</v>
      </c>
      <c r="AF347" t="s">
        <v>1236</v>
      </c>
      <c r="AI347">
        <v>49119902</v>
      </c>
      <c r="AJ347" t="s">
        <v>1348</v>
      </c>
      <c r="AM347">
        <v>221118</v>
      </c>
      <c r="AN347" t="s">
        <v>1238</v>
      </c>
      <c r="AQ347" t="s">
        <v>75</v>
      </c>
      <c r="AT347" t="s">
        <v>76</v>
      </c>
      <c r="BF347">
        <v>0</v>
      </c>
      <c r="BG347">
        <v>0</v>
      </c>
      <c r="CK347" s="19">
        <f>IF(BQ347&gt;0,BQ347,W347)</f>
        <v>218957</v>
      </c>
      <c r="CL347" s="20">
        <f>IF(BS347&gt;0,BS347,Y347)</f>
        <v>6</v>
      </c>
      <c r="CM347" s="34">
        <f>IF(CG347&gt;0,CG347,AM347)</f>
        <v>221118</v>
      </c>
      <c r="CN347" s="80">
        <f>IF($BH347="",1,COUNTIF($BH$3:$BH347,$BH347))</f>
        <v>1</v>
      </c>
      <c r="CP347" t="str">
        <f>IF($K347="Standard Match","Match",IF($K347="Name Only Match",IF($CO347="Yes","Match","Name Only Match"),"No Match"))</f>
        <v>Match</v>
      </c>
      <c r="CQ347" s="35" t="str">
        <f>IF(AND(CP347="Match",CK347&gt;0,CL347&gt;0),"Y","N")</f>
        <v>Y</v>
      </c>
      <c r="CS347" t="str">
        <f>IF($CQ347="Y",VLOOKUP($CM347,'SBA Size Standards'!$B$3:$G$57,MATCH('SBA Size Standards'!$G$3,'SBA Size Standards'!$B$3:$G$3,0),FALSE),"")</f>
        <v>Employment</v>
      </c>
      <c r="CT347" s="60" t="str">
        <f>IF(CQ347="Y",IF($CS347="Employment","N/A",VLOOKUP($CM347,'SBA Size Standards'!$B$3:$G$57,MATCH('SBA Size Standards'!$E$3,'SBA Size Standards'!$B$3:$G$3,0),FALSE)),"")</f>
        <v>N/A</v>
      </c>
      <c r="CU347" s="86">
        <f>IF($CQ347="Y",IF($CS347="Revenue","N/A",VLOOKUP($CM347,'SBA Size Standards'!$B$3:$G$57,MATCH('SBA Size Standards'!$F$3,'SBA Size Standards'!$B$3:$G$3,0),FALSE)),"")</f>
        <v>250</v>
      </c>
      <c r="CV347" t="str">
        <f>IF($CQ347="Y",IF(OR(AND($CS347="Employment",$CL347&lt;$CU347),AND($CS347="Revenue",$CK347&lt;$CT347)),"YES","NO"),"")</f>
        <v>YES</v>
      </c>
      <c r="CW347" s="90" t="str">
        <f>IF($CQ347="Y",INDEX('SBA Size Standards'!$N$3:$N$12,MATCH($CK347,'SBA Size Standards'!$O$3:$O$12,1)),"")</f>
        <v>$100,001 - $500,000</v>
      </c>
      <c r="CX347" s="122" t="s">
        <v>4845</v>
      </c>
      <c r="CY347" s="122">
        <f>INDEX('NM O&amp;G Production'!$P$3:$P$537,MATCH(CX347,'NM O&amp;G Production'!$Q$3:$Q$537,0))</f>
        <v>177</v>
      </c>
      <c r="CZ347" s="122" t="str">
        <f>INDEX('NM O&amp;G Production'!$O$3:$O$537,MATCH(CY347,'NM O&amp;G Production'!$P$3:$P$537,0))</f>
        <v>Yes</v>
      </c>
      <c r="DA347" s="127">
        <f>INDEX('NM O&amp;G Production'!$K$3:$O$537,MATCH($CY347,'NM O&amp;G Production'!$P$3:$P$537,0),MATCH(DA$2,'NM O&amp;G Production'!$K$2:$O$2,0))</f>
        <v>1</v>
      </c>
      <c r="DB347" s="127">
        <f>INDEX('NM O&amp;G Production'!$K$3:$O$537,MATCH($CY347,'NM O&amp;G Production'!$P$3:$P$537,0),MATCH(DB$2,'NM O&amp;G Production'!$K$2:$O$2,0))</f>
        <v>0</v>
      </c>
      <c r="DC347" s="127">
        <f>DA347+DB347</f>
        <v>1</v>
      </c>
      <c r="DD347" s="127">
        <f>INDEX('NM O&amp;G Production'!$K$3:$O$537,MATCH($CY347,'NM O&amp;G Production'!$P$3:$P$537,0),MATCH(DD$2,'NM O&amp;G Production'!$K$2:$O$2,0))</f>
        <v>42948</v>
      </c>
      <c r="DE347" s="127">
        <f>INDEX('NM O&amp;G Production'!$K$3:$O$537,MATCH($CY347,'NM O&amp;G Production'!$P$3:$P$537,0),MATCH(DE$2,'NM O&amp;G Production'!$K$2:$O$2,0))</f>
        <v>0</v>
      </c>
      <c r="DF347" s="258">
        <f>CK347/(DB347+DA347)</f>
        <v>218957</v>
      </c>
      <c r="DG347" s="57">
        <f>DD347*(12/18)*1.06*'Oil and Gas Prices'!$C$18</f>
        <v>72536.308800000013</v>
      </c>
      <c r="DH347" s="284">
        <f>DE347*(12/18)*'Oil and Gas Prices'!$C$4</f>
        <v>0</v>
      </c>
      <c r="DI347" s="284">
        <f>DG347+DH347</f>
        <v>72536.308800000013</v>
      </c>
      <c r="DJ347" s="57">
        <f>(DG347+DH347)/(DA347+DB347)</f>
        <v>72536.308800000013</v>
      </c>
      <c r="DK347" s="319"/>
    </row>
    <row r="348" spans="1:115" x14ac:dyDescent="0.25">
      <c r="A348" t="s">
        <v>2828</v>
      </c>
      <c r="B348" t="s">
        <v>2829</v>
      </c>
      <c r="D348" t="s">
        <v>2830</v>
      </c>
      <c r="E348" t="s">
        <v>80</v>
      </c>
      <c r="F348">
        <v>77380</v>
      </c>
      <c r="G348" t="s">
        <v>62</v>
      </c>
      <c r="I348">
        <v>411</v>
      </c>
      <c r="J348" t="s">
        <v>63</v>
      </c>
      <c r="K348" t="s">
        <v>4133</v>
      </c>
      <c r="L348" t="s">
        <v>64</v>
      </c>
      <c r="M348">
        <v>10</v>
      </c>
      <c r="N348" t="s">
        <v>2831</v>
      </c>
      <c r="O348" t="s">
        <v>2832</v>
      </c>
      <c r="Q348" t="s">
        <v>2833</v>
      </c>
      <c r="R348" t="s">
        <v>2834</v>
      </c>
      <c r="S348" t="s">
        <v>94</v>
      </c>
      <c r="T348" t="s">
        <v>2835</v>
      </c>
      <c r="U348" t="s">
        <v>62</v>
      </c>
      <c r="V348">
        <v>3462249300</v>
      </c>
      <c r="W348" s="1">
        <v>214658</v>
      </c>
      <c r="X348">
        <v>3</v>
      </c>
      <c r="Y348">
        <v>3</v>
      </c>
      <c r="Z348">
        <v>2017</v>
      </c>
      <c r="AA348" t="s">
        <v>70</v>
      </c>
      <c r="AB348" t="s">
        <v>2836</v>
      </c>
      <c r="AC348" t="s">
        <v>98</v>
      </c>
      <c r="AD348" t="s">
        <v>517</v>
      </c>
      <c r="AE348">
        <v>1381</v>
      </c>
      <c r="AF348" t="s">
        <v>518</v>
      </c>
      <c r="AI348">
        <v>13810000</v>
      </c>
      <c r="AJ348" t="s">
        <v>519</v>
      </c>
      <c r="AM348">
        <v>213111</v>
      </c>
      <c r="AN348" t="s">
        <v>518</v>
      </c>
      <c r="AQ348" t="s">
        <v>75</v>
      </c>
      <c r="AT348" t="s">
        <v>76</v>
      </c>
      <c r="BF348">
        <v>0</v>
      </c>
      <c r="BG348">
        <v>0</v>
      </c>
      <c r="CK348" s="19">
        <f>IF(BQ348&gt;0,BQ348,W348)</f>
        <v>214658</v>
      </c>
      <c r="CL348" s="20">
        <f>IF(BS348&gt;0,BS348,Y348)</f>
        <v>3</v>
      </c>
      <c r="CM348" s="34">
        <f>IF(CG348&gt;0,CG348,AM348)</f>
        <v>213111</v>
      </c>
      <c r="CN348" s="80">
        <f>IF($BH348="",1,COUNTIF($BH$3:$BH348,$BH348))</f>
        <v>1</v>
      </c>
      <c r="CP348" t="str">
        <f>IF($K348="Standard Match","Match",IF($K348="Name Only Match",IF($CO348="Yes","Match","Name Only Match"),"No Match"))</f>
        <v>Match</v>
      </c>
      <c r="CQ348" s="35" t="str">
        <f>IF(AND(CP348="Match",CK348&gt;0,CL348&gt;0),"Y","N")</f>
        <v>Y</v>
      </c>
      <c r="CS348" t="str">
        <f>IF($CQ348="Y",VLOOKUP($CM348,'SBA Size Standards'!$B$3:$G$57,MATCH('SBA Size Standards'!$G$3,'SBA Size Standards'!$B$3:$G$3,0),FALSE),"")</f>
        <v>Employment</v>
      </c>
      <c r="CT348" s="60" t="str">
        <f>IF(CQ348="Y",IF($CS348="Employment","N/A",VLOOKUP($CM348,'SBA Size Standards'!$B$3:$G$57,MATCH('SBA Size Standards'!$E$3,'SBA Size Standards'!$B$3:$G$3,0),FALSE)),"")</f>
        <v>N/A</v>
      </c>
      <c r="CU348" s="86">
        <f>IF($CQ348="Y",IF($CS348="Revenue","N/A",VLOOKUP($CM348,'SBA Size Standards'!$B$3:$G$57,MATCH('SBA Size Standards'!$F$3,'SBA Size Standards'!$B$3:$G$3,0),FALSE)),"")</f>
        <v>1000</v>
      </c>
      <c r="CV348" t="str">
        <f>IF($CQ348="Y",IF(OR(AND($CS348="Employment",$CL348&lt;$CU348),AND($CS348="Revenue",$CK348&lt;$CT348)),"YES","NO"),"")</f>
        <v>YES</v>
      </c>
      <c r="CW348" s="90" t="str">
        <f>IF($CQ348="Y",INDEX('SBA Size Standards'!$N$3:$N$12,MATCH($CK348,'SBA Size Standards'!$O$3:$O$12,1)),"")</f>
        <v>$100,001 - $500,000</v>
      </c>
      <c r="CX348" s="122" t="s">
        <v>4732</v>
      </c>
      <c r="CY348" s="122">
        <f>INDEX('NM O&amp;G Production'!$P$3:$P$537,MATCH(CX348,'NM O&amp;G Production'!$Q$3:$Q$537,0))</f>
        <v>411</v>
      </c>
      <c r="CZ348" s="122" t="str">
        <f>INDEX('NM O&amp;G Production'!$O$3:$O$537,MATCH(CY348,'NM O&amp;G Production'!$P$3:$P$537,0))</f>
        <v>Yes</v>
      </c>
      <c r="DA348" s="127">
        <f>INDEX('NM O&amp;G Production'!$K$3:$O$537,MATCH($CY348,'NM O&amp;G Production'!$P$3:$P$537,0),MATCH(DA$2,'NM O&amp;G Production'!$K$2:$O$2,0))</f>
        <v>11</v>
      </c>
      <c r="DB348" s="127">
        <f>INDEX('NM O&amp;G Production'!$K$3:$O$537,MATCH($CY348,'NM O&amp;G Production'!$P$3:$P$537,0),MATCH(DB$2,'NM O&amp;G Production'!$K$2:$O$2,0))</f>
        <v>27</v>
      </c>
      <c r="DC348" s="127">
        <f>DA348+DB348</f>
        <v>38</v>
      </c>
      <c r="DD348" s="127">
        <f>INDEX('NM O&amp;G Production'!$K$3:$O$537,MATCH($CY348,'NM O&amp;G Production'!$P$3:$P$537,0),MATCH(DD$2,'NM O&amp;G Production'!$K$2:$O$2,0))</f>
        <v>255673</v>
      </c>
      <c r="DE348" s="127">
        <f>INDEX('NM O&amp;G Production'!$K$3:$O$537,MATCH($CY348,'NM O&amp;G Production'!$P$3:$P$537,0),MATCH(DE$2,'NM O&amp;G Production'!$K$2:$O$2,0))</f>
        <v>153909</v>
      </c>
      <c r="DF348" s="258">
        <f>CK348/(DB348+DA348)</f>
        <v>5648.894736842105</v>
      </c>
      <c r="DG348" s="57">
        <f>DD348*(12/18)*1.06*'Oil and Gas Prices'!$C$18</f>
        <v>431814.65213333338</v>
      </c>
      <c r="DH348" s="284">
        <f>DE348*(12/18)*'Oil and Gas Prices'!$C$4</f>
        <v>4617270</v>
      </c>
      <c r="DI348" s="284">
        <f>DG348+DH348</f>
        <v>5049084.6521333335</v>
      </c>
      <c r="DJ348" s="57">
        <f>(DG348+DH348)/(DA348+DB348)</f>
        <v>132870.64874035088</v>
      </c>
      <c r="DK348" s="318"/>
    </row>
    <row r="349" spans="1:115" s="21" customFormat="1" x14ac:dyDescent="0.25">
      <c r="A349" t="s">
        <v>591</v>
      </c>
      <c r="B349" t="s">
        <v>592</v>
      </c>
      <c r="C349"/>
      <c r="D349" t="s">
        <v>593</v>
      </c>
      <c r="E349" t="s">
        <v>84</v>
      </c>
      <c r="F349">
        <v>87410</v>
      </c>
      <c r="G349" t="s">
        <v>62</v>
      </c>
      <c r="H349"/>
      <c r="I349">
        <v>73</v>
      </c>
      <c r="J349" t="s">
        <v>404</v>
      </c>
      <c r="K349" t="s">
        <v>4133</v>
      </c>
      <c r="L349" t="s">
        <v>149</v>
      </c>
      <c r="M349">
        <v>10</v>
      </c>
      <c r="N349" t="s">
        <v>594</v>
      </c>
      <c r="O349" t="s">
        <v>595</v>
      </c>
      <c r="P349"/>
      <c r="Q349" t="s">
        <v>596</v>
      </c>
      <c r="R349" t="s">
        <v>593</v>
      </c>
      <c r="S349" t="s">
        <v>214</v>
      </c>
      <c r="T349" t="s">
        <v>597</v>
      </c>
      <c r="U349" t="s">
        <v>62</v>
      </c>
      <c r="V349">
        <v>5053346191</v>
      </c>
      <c r="W349" s="1">
        <v>210000</v>
      </c>
      <c r="X349">
        <v>3</v>
      </c>
      <c r="Y349">
        <v>3</v>
      </c>
      <c r="Z349">
        <v>1970</v>
      </c>
      <c r="AA349" t="s">
        <v>70</v>
      </c>
      <c r="AB349" t="s">
        <v>598</v>
      </c>
      <c r="AC349" t="s">
        <v>98</v>
      </c>
      <c r="AD349" t="s">
        <v>99</v>
      </c>
      <c r="AE349">
        <v>1311</v>
      </c>
      <c r="AF349" t="s">
        <v>100</v>
      </c>
      <c r="AG349"/>
      <c r="AH349"/>
      <c r="AI349">
        <v>13110102</v>
      </c>
      <c r="AJ349" t="s">
        <v>599</v>
      </c>
      <c r="AK349"/>
      <c r="AL349"/>
      <c r="AM349">
        <v>211120</v>
      </c>
      <c r="AN349" t="s">
        <v>104</v>
      </c>
      <c r="AO349"/>
      <c r="AP349"/>
      <c r="AQ349" t="s">
        <v>75</v>
      </c>
      <c r="AR349"/>
      <c r="AS349"/>
      <c r="AT349" t="s">
        <v>76</v>
      </c>
      <c r="AU349"/>
      <c r="AV349"/>
      <c r="AW349"/>
      <c r="AX349"/>
      <c r="AY349"/>
      <c r="AZ349"/>
      <c r="BA349"/>
      <c r="BB349"/>
      <c r="BC349"/>
      <c r="BD349"/>
      <c r="BE349"/>
      <c r="BF349">
        <v>0</v>
      </c>
      <c r="BG349">
        <v>0</v>
      </c>
      <c r="BH349" s="4"/>
      <c r="BI349" s="4"/>
      <c r="BJ349" s="4"/>
      <c r="BK349" s="4"/>
      <c r="BL349" s="4"/>
      <c r="BM349" s="4"/>
      <c r="BN349" s="4"/>
      <c r="BO349" s="4"/>
      <c r="BP349" s="4"/>
      <c r="BQ349" s="4"/>
      <c r="BR349" s="4"/>
      <c r="BS349" s="4"/>
      <c r="BT349" s="4"/>
      <c r="BU349" s="4"/>
      <c r="BV349" s="4"/>
      <c r="BW349" s="4"/>
      <c r="BX349" s="4"/>
      <c r="BY349" s="4"/>
      <c r="BZ349" s="4"/>
      <c r="CA349" s="4"/>
      <c r="CB349" s="4"/>
      <c r="CC349" s="4"/>
      <c r="CD349" s="4"/>
      <c r="CE349" s="4"/>
      <c r="CF349" s="4"/>
      <c r="CG349" s="4"/>
      <c r="CH349" s="4"/>
      <c r="CI349" s="4"/>
      <c r="CJ349" s="4"/>
      <c r="CK349" s="19">
        <f>IF(BQ349&gt;0,BQ349,W349)</f>
        <v>210000</v>
      </c>
      <c r="CL349" s="20">
        <f>IF(BS349&gt;0,BS349,Y349)</f>
        <v>3</v>
      </c>
      <c r="CM349" s="34">
        <f>IF(CG349&gt;0,CG349,AM349)</f>
        <v>211120</v>
      </c>
      <c r="CN349" s="80">
        <f>IF($BH349="",1,COUNTIF($BH$3:$BH349,$BH349))</f>
        <v>1</v>
      </c>
      <c r="CO349"/>
      <c r="CP349" t="str">
        <f>IF($K349="Standard Match","Match",IF($K349="Name Only Match",IF($CO349="Yes","Match","Name Only Match"),"No Match"))</f>
        <v>Match</v>
      </c>
      <c r="CQ349" s="35" t="str">
        <f>IF(AND(CP349="Match",CK349&gt;0,CL349&gt;0),"Y","N")</f>
        <v>Y</v>
      </c>
      <c r="CR349"/>
      <c r="CS349" t="str">
        <f>IF($CQ349="Y",VLOOKUP($CM349,'SBA Size Standards'!$B$3:$G$57,MATCH('SBA Size Standards'!$G$3,'SBA Size Standards'!$B$3:$G$3,0),FALSE),"")</f>
        <v>Employment</v>
      </c>
      <c r="CT349" s="60" t="str">
        <f>IF(CQ349="Y",IF($CS349="Employment","N/A",VLOOKUP($CM349,'SBA Size Standards'!$B$3:$G$57,MATCH('SBA Size Standards'!$E$3,'SBA Size Standards'!$B$3:$G$3,0),FALSE)),"")</f>
        <v>N/A</v>
      </c>
      <c r="CU349" s="86">
        <f>IF($CQ349="Y",IF($CS349="Revenue","N/A",VLOOKUP($CM349,'SBA Size Standards'!$B$3:$G$57,MATCH('SBA Size Standards'!$F$3,'SBA Size Standards'!$B$3:$G$3,0),FALSE)),"")</f>
        <v>1250</v>
      </c>
      <c r="CV349" t="str">
        <f>IF($CQ349="Y",IF(OR(AND($CS349="Employment",$CL349&lt;$CU349),AND($CS349="Revenue",$CK349&lt;$CT349)),"YES","NO"),"")</f>
        <v>YES</v>
      </c>
      <c r="CW349" s="90" t="str">
        <f>IF($CQ349="Y",INDEX('SBA Size Standards'!$N$3:$N$12,MATCH($CK349,'SBA Size Standards'!$O$3:$O$12,1)),"")</f>
        <v>$100,001 - $500,000</v>
      </c>
      <c r="CX349" s="122" t="s">
        <v>4564</v>
      </c>
      <c r="CY349" s="122">
        <f>INDEX('NM O&amp;G Production'!$P$3:$P$537,MATCH(CX349,'NM O&amp;G Production'!$Q$3:$Q$537,0))</f>
        <v>73</v>
      </c>
      <c r="CZ349" s="122" t="str">
        <f>INDEX('NM O&amp;G Production'!$O$3:$O$537,MATCH(CY349,'NM O&amp;G Production'!$P$3:$P$537,0))</f>
        <v>Yes</v>
      </c>
      <c r="DA349" s="127">
        <f>INDEX('NM O&amp;G Production'!$K$3:$O$537,MATCH($CY349,'NM O&amp;G Production'!$P$3:$P$537,0),MATCH(DA$2,'NM O&amp;G Production'!$K$2:$O$2,0))</f>
        <v>2</v>
      </c>
      <c r="DB349" s="127">
        <f>INDEX('NM O&amp;G Production'!$K$3:$O$537,MATCH($CY349,'NM O&amp;G Production'!$P$3:$P$537,0),MATCH(DB$2,'NM O&amp;G Production'!$K$2:$O$2,0))</f>
        <v>7</v>
      </c>
      <c r="DC349" s="127">
        <f>DA349+DB349</f>
        <v>9</v>
      </c>
      <c r="DD349" s="127">
        <f>INDEX('NM O&amp;G Production'!$K$3:$O$537,MATCH($CY349,'NM O&amp;G Production'!$P$3:$P$537,0),MATCH(DD$2,'NM O&amp;G Production'!$K$2:$O$2,0))</f>
        <v>90940</v>
      </c>
      <c r="DE349" s="127">
        <f>INDEX('NM O&amp;G Production'!$K$3:$O$537,MATCH($CY349,'NM O&amp;G Production'!$P$3:$P$537,0),MATCH(DE$2,'NM O&amp;G Production'!$K$2:$O$2,0))</f>
        <v>0</v>
      </c>
      <c r="DF349" s="258">
        <f>CK349/(DB349+DA349)</f>
        <v>23333.333333333332</v>
      </c>
      <c r="DG349" s="57">
        <f>DD349*(12/18)*1.06*'Oil and Gas Prices'!$C$18</f>
        <v>153591.59733333334</v>
      </c>
      <c r="DH349" s="284">
        <f>DE349*(12/18)*'Oil and Gas Prices'!$C$4</f>
        <v>0</v>
      </c>
      <c r="DI349" s="284">
        <f>DG349+DH349</f>
        <v>153591.59733333334</v>
      </c>
      <c r="DJ349" s="57">
        <f>(DG349+DH349)/(DA349+DB349)</f>
        <v>17065.733037037036</v>
      </c>
      <c r="DK349" s="318"/>
    </row>
    <row r="350" spans="1:115" x14ac:dyDescent="0.25">
      <c r="A350" t="s">
        <v>947</v>
      </c>
      <c r="B350" t="s">
        <v>948</v>
      </c>
      <c r="D350" t="s">
        <v>60</v>
      </c>
      <c r="E350" t="s">
        <v>61</v>
      </c>
      <c r="F350">
        <v>80202</v>
      </c>
      <c r="G350" t="s">
        <v>62</v>
      </c>
      <c r="I350">
        <v>122</v>
      </c>
      <c r="J350" t="s">
        <v>63</v>
      </c>
      <c r="K350" t="s">
        <v>4133</v>
      </c>
      <c r="L350" t="s">
        <v>225</v>
      </c>
      <c r="M350">
        <v>8</v>
      </c>
      <c r="N350" t="s">
        <v>949</v>
      </c>
      <c r="O350" t="s">
        <v>950</v>
      </c>
      <c r="Q350" t="s">
        <v>951</v>
      </c>
      <c r="R350" t="s">
        <v>60</v>
      </c>
      <c r="S350" t="s">
        <v>68</v>
      </c>
      <c r="T350" t="s">
        <v>952</v>
      </c>
      <c r="U350" t="s">
        <v>62</v>
      </c>
      <c r="V350">
        <v>3034077430</v>
      </c>
      <c r="W350" s="1">
        <v>208916</v>
      </c>
      <c r="X350">
        <v>2</v>
      </c>
      <c r="Y350">
        <v>2</v>
      </c>
      <c r="Z350">
        <v>2016</v>
      </c>
      <c r="AA350" t="s">
        <v>70</v>
      </c>
      <c r="AD350" t="s">
        <v>119</v>
      </c>
      <c r="AE350">
        <v>1382</v>
      </c>
      <c r="AF350" t="s">
        <v>120</v>
      </c>
      <c r="AI350">
        <v>13820000</v>
      </c>
      <c r="AJ350" t="s">
        <v>119</v>
      </c>
      <c r="AM350">
        <v>213112</v>
      </c>
      <c r="AN350" t="s">
        <v>74</v>
      </c>
      <c r="AQ350" t="s">
        <v>75</v>
      </c>
      <c r="AT350" t="s">
        <v>76</v>
      </c>
      <c r="BF350">
        <v>0</v>
      </c>
      <c r="BG350">
        <v>0</v>
      </c>
      <c r="CK350" s="19">
        <f>IF(BQ350&gt;0,BQ350,W350)</f>
        <v>208916</v>
      </c>
      <c r="CL350" s="20">
        <f>IF(BS350&gt;0,BS350,Y350)</f>
        <v>2</v>
      </c>
      <c r="CM350" s="34">
        <f>IF(CG350&gt;0,CG350,AM350)</f>
        <v>213112</v>
      </c>
      <c r="CN350" s="80">
        <f>IF($BH350="",1,COUNTIF($BH$3:$BH350,$BH350))</f>
        <v>1</v>
      </c>
      <c r="CP350" t="str">
        <f>IF($K350="Standard Match","Match",IF($K350="Name Only Match",IF($CO350="Yes","Match","Name Only Match"),"No Match"))</f>
        <v>Match</v>
      </c>
      <c r="CQ350" s="35" t="str">
        <f>IF(AND(CP350="Match",CK350&gt;0,CL350&gt;0),"Y","N")</f>
        <v>Y</v>
      </c>
      <c r="CS350" t="str">
        <f>IF($CQ350="Y",VLOOKUP($CM350,'SBA Size Standards'!$B$3:$G$57,MATCH('SBA Size Standards'!$G$3,'SBA Size Standards'!$B$3:$G$3,0),FALSE),"")</f>
        <v>Revenue</v>
      </c>
      <c r="CT350" s="60">
        <f>IF(CQ350="Y",IF($CS350="Employment","N/A",VLOOKUP($CM350,'SBA Size Standards'!$B$3:$G$57,MATCH('SBA Size Standards'!$E$3,'SBA Size Standards'!$B$3:$G$3,0),FALSE)),"")</f>
        <v>41500000</v>
      </c>
      <c r="CU350" s="86" t="str">
        <f>IF($CQ350="Y",IF($CS350="Revenue","N/A",VLOOKUP($CM350,'SBA Size Standards'!$B$3:$G$57,MATCH('SBA Size Standards'!$F$3,'SBA Size Standards'!$B$3:$G$3,0),FALSE)),"")</f>
        <v>N/A</v>
      </c>
      <c r="CV350" t="str">
        <f>IF($CQ350="Y",IF(OR(AND($CS350="Employment",$CL350&lt;$CU350),AND($CS350="Revenue",$CK350&lt;$CT350)),"YES","NO"),"")</f>
        <v>YES</v>
      </c>
      <c r="CW350" s="90" t="str">
        <f>IF($CQ350="Y",INDEX('SBA Size Standards'!$N$3:$N$12,MATCH($CK350,'SBA Size Standards'!$O$3:$O$12,1)),"")</f>
        <v>$100,001 - $500,000</v>
      </c>
      <c r="CX350" s="122" t="s">
        <v>4831</v>
      </c>
      <c r="CY350" s="122">
        <f>INDEX('NM O&amp;G Production'!$P$3:$P$537,MATCH(CX350,'NM O&amp;G Production'!$Q$3:$Q$537,0))</f>
        <v>122</v>
      </c>
      <c r="CZ350" s="122" t="str">
        <f>INDEX('NM O&amp;G Production'!$O$3:$O$537,MATCH(CY350,'NM O&amp;G Production'!$P$3:$P$537,0))</f>
        <v>No</v>
      </c>
      <c r="DA350" s="127">
        <f>INDEX('NM O&amp;G Production'!$K$3:$O$537,MATCH($CY350,'NM O&amp;G Production'!$P$3:$P$537,0),MATCH(DA$2,'NM O&amp;G Production'!$K$2:$O$2,0))</f>
        <v>0</v>
      </c>
      <c r="DB350" s="127">
        <f>INDEX('NM O&amp;G Production'!$K$3:$O$537,MATCH($CY350,'NM O&amp;G Production'!$P$3:$P$537,0),MATCH(DB$2,'NM O&amp;G Production'!$K$2:$O$2,0))</f>
        <v>0</v>
      </c>
      <c r="DC350" s="127"/>
      <c r="DD350" s="127">
        <f>INDEX('NM O&amp;G Production'!$K$3:$O$537,MATCH($CY350,'NM O&amp;G Production'!$P$3:$P$537,0),MATCH(DD$2,'NM O&amp;G Production'!$K$2:$O$2,0))</f>
        <v>0</v>
      </c>
      <c r="DE350" s="127">
        <f>INDEX('NM O&amp;G Production'!$K$3:$O$537,MATCH($CY350,'NM O&amp;G Production'!$P$3:$P$537,0),MATCH(DE$2,'NM O&amp;G Production'!$K$2:$O$2,0))</f>
        <v>0</v>
      </c>
      <c r="DF350" s="258" t="e">
        <f>CK350/(DB350+DA350)</f>
        <v>#DIV/0!</v>
      </c>
      <c r="DG350" s="57">
        <f>DD350*(12/18)*1.06*'Oil and Gas Prices'!$C$18</f>
        <v>0</v>
      </c>
      <c r="DH350" s="284">
        <f>DE350*(12/18)*'Oil and Gas Prices'!$C$4</f>
        <v>0</v>
      </c>
      <c r="DI350" s="284"/>
      <c r="DJ350" s="57" t="e">
        <f>(DG350+DH350)/(DA350+DB350)</f>
        <v>#DIV/0!</v>
      </c>
      <c r="DK350" s="18" t="e">
        <f>CK350/DI350</f>
        <v>#DIV/0!</v>
      </c>
    </row>
    <row r="351" spans="1:115" x14ac:dyDescent="0.25">
      <c r="A351" t="s">
        <v>521</v>
      </c>
      <c r="B351" t="s">
        <v>522</v>
      </c>
      <c r="D351" t="s">
        <v>523</v>
      </c>
      <c r="E351" t="s">
        <v>80</v>
      </c>
      <c r="F351">
        <v>79760</v>
      </c>
      <c r="G351" t="s">
        <v>62</v>
      </c>
      <c r="I351">
        <v>64</v>
      </c>
      <c r="J351" t="s">
        <v>63</v>
      </c>
      <c r="K351" t="s">
        <v>4133</v>
      </c>
      <c r="L351" t="s">
        <v>149</v>
      </c>
      <c r="M351">
        <v>10</v>
      </c>
      <c r="N351" t="s">
        <v>524</v>
      </c>
      <c r="O351" t="s">
        <v>525</v>
      </c>
      <c r="Q351" t="s">
        <v>526</v>
      </c>
      <c r="R351" t="s">
        <v>523</v>
      </c>
      <c r="S351" t="s">
        <v>94</v>
      </c>
      <c r="T351" t="s">
        <v>527</v>
      </c>
      <c r="U351" t="s">
        <v>62</v>
      </c>
      <c r="V351">
        <v>4323371975</v>
      </c>
      <c r="W351" s="1">
        <v>207122</v>
      </c>
      <c r="X351">
        <v>1</v>
      </c>
      <c r="Y351">
        <v>1</v>
      </c>
      <c r="Z351">
        <v>1995</v>
      </c>
      <c r="AA351" t="s">
        <v>70</v>
      </c>
      <c r="AB351" t="s">
        <v>528</v>
      </c>
      <c r="AC351" t="s">
        <v>483</v>
      </c>
      <c r="AD351" t="s">
        <v>71</v>
      </c>
      <c r="AE351">
        <v>1389</v>
      </c>
      <c r="AF351" t="s">
        <v>72</v>
      </c>
      <c r="AI351">
        <v>13899905</v>
      </c>
      <c r="AJ351" t="s">
        <v>529</v>
      </c>
      <c r="AM351">
        <v>213112</v>
      </c>
      <c r="AN351" t="s">
        <v>74</v>
      </c>
      <c r="AQ351" t="s">
        <v>75</v>
      </c>
      <c r="AT351" t="s">
        <v>76</v>
      </c>
      <c r="BF351">
        <v>0</v>
      </c>
      <c r="BG351">
        <v>0</v>
      </c>
      <c r="CK351" s="19">
        <f>IF(BQ351&gt;0,BQ351,W351)</f>
        <v>207122</v>
      </c>
      <c r="CL351" s="20">
        <f>IF(BS351&gt;0,BS351,Y351)</f>
        <v>1</v>
      </c>
      <c r="CM351" s="34">
        <f>IF(CG351&gt;0,CG351,AM351)</f>
        <v>213112</v>
      </c>
      <c r="CN351" s="80">
        <f>IF($BH351="",1,COUNTIF($BH$3:$BH351,$BH351))</f>
        <v>1</v>
      </c>
      <c r="CP351" t="str">
        <f>IF($K351="Standard Match","Match",IF($K351="Name Only Match",IF($CO351="Yes","Match","Name Only Match"),"No Match"))</f>
        <v>Match</v>
      </c>
      <c r="CQ351" s="35" t="str">
        <f>IF(AND(CP351="Match",CK351&gt;0,CL351&gt;0),"Y","N")</f>
        <v>Y</v>
      </c>
      <c r="CS351" t="str">
        <f>IF($CQ351="Y",VLOOKUP($CM351,'SBA Size Standards'!$B$3:$G$57,MATCH('SBA Size Standards'!$G$3,'SBA Size Standards'!$B$3:$G$3,0),FALSE),"")</f>
        <v>Revenue</v>
      </c>
      <c r="CT351" s="60">
        <f>IF(CQ351="Y",IF($CS351="Employment","N/A",VLOOKUP($CM351,'SBA Size Standards'!$B$3:$G$57,MATCH('SBA Size Standards'!$E$3,'SBA Size Standards'!$B$3:$G$3,0),FALSE)),"")</f>
        <v>41500000</v>
      </c>
      <c r="CU351" s="86" t="str">
        <f>IF($CQ351="Y",IF($CS351="Revenue","N/A",VLOOKUP($CM351,'SBA Size Standards'!$B$3:$G$57,MATCH('SBA Size Standards'!$F$3,'SBA Size Standards'!$B$3:$G$3,0),FALSE)),"")</f>
        <v>N/A</v>
      </c>
      <c r="CV351" t="str">
        <f>IF($CQ351="Y",IF(OR(AND($CS351="Employment",$CL351&lt;$CU351),AND($CS351="Revenue",$CK351&lt;$CT351)),"YES","NO"),"")</f>
        <v>YES</v>
      </c>
      <c r="CW351" s="90" t="str">
        <f>IF($CQ351="Y",INDEX('SBA Size Standards'!$N$3:$N$12,MATCH($CK351,'SBA Size Standards'!$O$3:$O$12,1)),"")</f>
        <v>$100,001 - $500,000</v>
      </c>
      <c r="CX351" s="122" t="s">
        <v>4559</v>
      </c>
      <c r="CY351" s="122">
        <f>INDEX('NM O&amp;G Production'!$P$3:$P$537,MATCH(CX351,'NM O&amp;G Production'!$Q$3:$Q$537,0))</f>
        <v>64</v>
      </c>
      <c r="CZ351" s="122" t="str">
        <f>INDEX('NM O&amp;G Production'!$O$3:$O$537,MATCH(CY351,'NM O&amp;G Production'!$P$3:$P$537,0))</f>
        <v>Yes</v>
      </c>
      <c r="DA351" s="127">
        <f>INDEX('NM O&amp;G Production'!$K$3:$O$537,MATCH($CY351,'NM O&amp;G Production'!$P$3:$P$537,0),MATCH(DA$2,'NM O&amp;G Production'!$K$2:$O$2,0))</f>
        <v>1</v>
      </c>
      <c r="DB351" s="127">
        <f>INDEX('NM O&amp;G Production'!$K$3:$O$537,MATCH($CY351,'NM O&amp;G Production'!$P$3:$P$537,0),MATCH(DB$2,'NM O&amp;G Production'!$K$2:$O$2,0))</f>
        <v>0</v>
      </c>
      <c r="DC351" s="127">
        <f>DA351+DB351</f>
        <v>1</v>
      </c>
      <c r="DD351" s="127">
        <f>INDEX('NM O&amp;G Production'!$K$3:$O$537,MATCH($CY351,'NM O&amp;G Production'!$P$3:$P$537,0),MATCH(DD$2,'NM O&amp;G Production'!$K$2:$O$2,0))</f>
        <v>0</v>
      </c>
      <c r="DE351" s="127">
        <f>INDEX('NM O&amp;G Production'!$K$3:$O$537,MATCH($CY351,'NM O&amp;G Production'!$P$3:$P$537,0),MATCH(DE$2,'NM O&amp;G Production'!$K$2:$O$2,0))</f>
        <v>47</v>
      </c>
      <c r="DF351" s="258">
        <f>CK351/(DB351+DA351)</f>
        <v>207122</v>
      </c>
      <c r="DG351" s="57">
        <f>DD351*(12/18)*1.06*'Oil and Gas Prices'!$C$18</f>
        <v>0</v>
      </c>
      <c r="DH351" s="284">
        <f>DE351*(12/18)*'Oil and Gas Prices'!$C$4</f>
        <v>1410</v>
      </c>
      <c r="DI351" s="284">
        <f>DG351+DH351</f>
        <v>1410</v>
      </c>
      <c r="DJ351" s="57">
        <f>(DG351+DH351)/(DA351+DB351)</f>
        <v>1410</v>
      </c>
      <c r="DK351" s="319"/>
    </row>
    <row r="352" spans="1:115" x14ac:dyDescent="0.25">
      <c r="A352" s="21" t="s">
        <v>358</v>
      </c>
      <c r="B352" t="s">
        <v>359</v>
      </c>
      <c r="D352" t="s">
        <v>79</v>
      </c>
      <c r="E352" t="s">
        <v>80</v>
      </c>
      <c r="F352">
        <v>79424</v>
      </c>
      <c r="G352" t="s">
        <v>62</v>
      </c>
      <c r="I352">
        <v>42</v>
      </c>
      <c r="J352" t="s">
        <v>63</v>
      </c>
      <c r="K352" t="s">
        <v>4134</v>
      </c>
      <c r="L352" t="s">
        <v>3627</v>
      </c>
      <c r="M352">
        <v>8</v>
      </c>
      <c r="N352" t="s">
        <v>3634</v>
      </c>
      <c r="O352" s="21" t="s">
        <v>5083</v>
      </c>
      <c r="Q352" t="s">
        <v>5084</v>
      </c>
      <c r="R352" t="s">
        <v>1100</v>
      </c>
      <c r="S352" t="s">
        <v>94</v>
      </c>
      <c r="T352" t="s">
        <v>5085</v>
      </c>
      <c r="U352" t="s">
        <v>62</v>
      </c>
      <c r="V352">
        <v>8067983907</v>
      </c>
      <c r="W352" s="1">
        <v>204879</v>
      </c>
      <c r="X352">
        <v>3</v>
      </c>
      <c r="Y352">
        <v>3</v>
      </c>
      <c r="Z352">
        <v>2008</v>
      </c>
      <c r="AA352" t="s">
        <v>70</v>
      </c>
      <c r="AB352" t="s">
        <v>5086</v>
      </c>
      <c r="AC352" t="s">
        <v>231</v>
      </c>
      <c r="AD352" t="s">
        <v>1300</v>
      </c>
      <c r="AE352">
        <v>7389</v>
      </c>
      <c r="AF352" t="s">
        <v>1301</v>
      </c>
      <c r="AI352">
        <v>73899999</v>
      </c>
      <c r="AJ352" t="s">
        <v>1935</v>
      </c>
      <c r="AM352">
        <v>561990</v>
      </c>
      <c r="AN352" t="s">
        <v>1936</v>
      </c>
      <c r="AQ352" t="s">
        <v>75</v>
      </c>
      <c r="AT352" t="s">
        <v>76</v>
      </c>
      <c r="BF352">
        <v>0</v>
      </c>
      <c r="BG352">
        <v>0</v>
      </c>
      <c r="CK352" s="19">
        <f>IF(BQ352&gt;0,BQ352,W352)</f>
        <v>204879</v>
      </c>
      <c r="CL352" s="20">
        <f>IF(BS352&gt;0,BS352,Y352)</f>
        <v>3</v>
      </c>
      <c r="CM352" s="34">
        <f>IF(CG352&gt;0,CG352,AM352)</f>
        <v>561990</v>
      </c>
      <c r="CN352" s="80">
        <f>IF($BH352="",1,COUNTIF($BH$3:$BH352,$BH352))</f>
        <v>1</v>
      </c>
      <c r="CO352" s="33" t="s">
        <v>4386</v>
      </c>
      <c r="CP352" t="str">
        <f>IF($K352="Standard Match","Match",IF($K352="Name Only Match",IF($CO352="Yes","Match","Name Only Match"),"No Match"))</f>
        <v>Match</v>
      </c>
      <c r="CQ352" s="35" t="str">
        <f>IF(AND(CP352="Match",CK352&gt;0,CL352&gt;0),"Y","N")</f>
        <v>Y</v>
      </c>
      <c r="CR352" t="s">
        <v>5078</v>
      </c>
      <c r="CS352" t="str">
        <f>IF($CQ352="Y",VLOOKUP($CM352,'SBA Size Standards'!$B$3:$G$57,MATCH('SBA Size Standards'!$G$3,'SBA Size Standards'!$B$3:$G$3,0),FALSE),"")</f>
        <v>Revenue</v>
      </c>
      <c r="CT352" s="60">
        <f>IF(CQ352="Y",IF($CS352="Employment","N/A",VLOOKUP($CM352,'SBA Size Standards'!$B$3:$G$57,MATCH('SBA Size Standards'!$E$3,'SBA Size Standards'!$B$3:$G$3,0),FALSE)),"")</f>
        <v>12000000</v>
      </c>
      <c r="CU352" s="86" t="str">
        <f>IF($CQ352="Y",IF($CS352="Revenue","N/A",VLOOKUP($CM352,'SBA Size Standards'!$B$3:$G$57,MATCH('SBA Size Standards'!$F$3,'SBA Size Standards'!$B$3:$G$3,0),FALSE)),"")</f>
        <v>N/A</v>
      </c>
      <c r="CV352" t="str">
        <f>IF($CQ352="Y",IF(OR(AND($CS352="Employment",$CL352&lt;$CU352),AND($CS352="Revenue",$CK352&lt;$CT352)),"YES","NO"),"")</f>
        <v>YES</v>
      </c>
      <c r="CW352" s="90" t="str">
        <f>IF($CQ352="Y",INDEX('SBA Size Standards'!$N$3:$N$12,MATCH($CK352,'SBA Size Standards'!$O$3:$O$12,1)),"")</f>
        <v>$100,001 - $500,000</v>
      </c>
      <c r="CX352" s="122" t="s">
        <v>4938</v>
      </c>
      <c r="CY352" s="122">
        <f>INDEX('NM O&amp;G Production'!$P$3:$P$537,MATCH(CX352,'NM O&amp;G Production'!$Q$3:$Q$537,0))</f>
        <v>42</v>
      </c>
      <c r="CZ352" s="122" t="str">
        <f>INDEX('NM O&amp;G Production'!$O$3:$O$537,MATCH(CY352,'NM O&amp;G Production'!$P$3:$P$537,0))</f>
        <v>Yes</v>
      </c>
      <c r="DA352" s="127">
        <f>INDEX('NM O&amp;G Production'!$K$3:$O$537,MATCH($CY352,'NM O&amp;G Production'!$P$3:$P$537,0),MATCH(DA$2,'NM O&amp;G Production'!$K$2:$O$2,0))</f>
        <v>0</v>
      </c>
      <c r="DB352" s="127">
        <f>INDEX('NM O&amp;G Production'!$K$3:$O$537,MATCH($CY352,'NM O&amp;G Production'!$P$3:$P$537,0),MATCH(DB$2,'NM O&amp;G Production'!$K$2:$O$2,0))</f>
        <v>4</v>
      </c>
      <c r="DC352" s="127">
        <f>DA352+DB352</f>
        <v>4</v>
      </c>
      <c r="DD352" s="127">
        <f>INDEX('NM O&amp;G Production'!$K$3:$O$537,MATCH($CY352,'NM O&amp;G Production'!$P$3:$P$537,0),MATCH(DD$2,'NM O&amp;G Production'!$K$2:$O$2,0))</f>
        <v>13545</v>
      </c>
      <c r="DE352" s="127">
        <f>INDEX('NM O&amp;G Production'!$K$3:$O$537,MATCH($CY352,'NM O&amp;G Production'!$P$3:$P$537,0),MATCH(DE$2,'NM O&amp;G Production'!$K$2:$O$2,0))</f>
        <v>8069</v>
      </c>
      <c r="DF352" s="258">
        <f>CK352/(DB352+DA352)</f>
        <v>51219.75</v>
      </c>
      <c r="DG352" s="57">
        <f>DD352*(12/18)*1.06*'Oil and Gas Prices'!$C$18</f>
        <v>22876.602000000003</v>
      </c>
      <c r="DH352" s="284">
        <f>DE352*(12/18)*'Oil and Gas Prices'!$C$4</f>
        <v>242070</v>
      </c>
      <c r="DI352" s="284">
        <f>DG352+DH352</f>
        <v>264946.60200000001</v>
      </c>
      <c r="DJ352" s="57">
        <f>(DG352+DH352)/(DA352+DB352)</f>
        <v>66236.650500000003</v>
      </c>
      <c r="DK352" s="321"/>
    </row>
    <row r="353" spans="1:115" x14ac:dyDescent="0.25">
      <c r="A353" t="s">
        <v>1633</v>
      </c>
      <c r="B353" t="s">
        <v>1634</v>
      </c>
      <c r="D353" t="s">
        <v>206</v>
      </c>
      <c r="E353" t="s">
        <v>84</v>
      </c>
      <c r="F353">
        <v>88241</v>
      </c>
      <c r="G353" t="s">
        <v>62</v>
      </c>
      <c r="I353">
        <v>221</v>
      </c>
      <c r="J353" t="s">
        <v>89</v>
      </c>
      <c r="K353" t="s">
        <v>4133</v>
      </c>
      <c r="L353" t="s">
        <v>149</v>
      </c>
      <c r="M353">
        <v>10</v>
      </c>
      <c r="N353" t="s">
        <v>1635</v>
      </c>
      <c r="O353" t="s">
        <v>1636</v>
      </c>
      <c r="P353" t="s">
        <v>1637</v>
      </c>
      <c r="Q353" t="s">
        <v>1638</v>
      </c>
      <c r="R353" t="s">
        <v>206</v>
      </c>
      <c r="S353" t="s">
        <v>214</v>
      </c>
      <c r="T353" t="s">
        <v>1639</v>
      </c>
      <c r="U353" t="s">
        <v>62</v>
      </c>
      <c r="V353">
        <v>5753927248</v>
      </c>
      <c r="W353" s="1">
        <v>202651</v>
      </c>
      <c r="X353">
        <v>2</v>
      </c>
      <c r="Y353">
        <v>2</v>
      </c>
      <c r="Z353">
        <v>1995</v>
      </c>
      <c r="AA353" t="s">
        <v>70</v>
      </c>
      <c r="AB353" t="s">
        <v>1640</v>
      </c>
      <c r="AC353" t="s">
        <v>231</v>
      </c>
      <c r="AD353" t="s">
        <v>551</v>
      </c>
      <c r="AE353">
        <v>8711</v>
      </c>
      <c r="AF353" t="s">
        <v>507</v>
      </c>
      <c r="AI353">
        <v>87110300</v>
      </c>
      <c r="AJ353" t="s">
        <v>1641</v>
      </c>
      <c r="AM353">
        <v>541330</v>
      </c>
      <c r="AN353" t="s">
        <v>507</v>
      </c>
      <c r="AQ353" t="s">
        <v>75</v>
      </c>
      <c r="AT353" t="s">
        <v>76</v>
      </c>
      <c r="BF353">
        <v>0</v>
      </c>
      <c r="BG353">
        <v>0</v>
      </c>
      <c r="CK353" s="19">
        <f>IF(BQ353&gt;0,BQ353,W353)</f>
        <v>202651</v>
      </c>
      <c r="CL353" s="20">
        <f>IF(BS353&gt;0,BS353,Y353)</f>
        <v>2</v>
      </c>
      <c r="CM353" s="34">
        <f>IF(CG353&gt;0,CG353,AM353)</f>
        <v>541330</v>
      </c>
      <c r="CN353" s="80">
        <f>IF($BH353="",1,COUNTIF($BH$3:$BH353,$BH353))</f>
        <v>1</v>
      </c>
      <c r="CP353" t="str">
        <f>IF($K353="Standard Match","Match",IF($K353="Name Only Match",IF($CO353="Yes","Match","Name Only Match"),"No Match"))</f>
        <v>Match</v>
      </c>
      <c r="CQ353" s="35" t="str">
        <f>IF(AND(CP353="Match",CK353&gt;0,CL353&gt;0),"Y","N")</f>
        <v>Y</v>
      </c>
      <c r="CS353" t="str">
        <f>IF($CQ353="Y",VLOOKUP($CM353,'SBA Size Standards'!$B$3:$G$57,MATCH('SBA Size Standards'!$G$3,'SBA Size Standards'!$B$3:$G$3,0),FALSE),"")</f>
        <v>Revenue</v>
      </c>
      <c r="CT353" s="60">
        <f>IF(CQ353="Y",IF($CS353="Employment","N/A",VLOOKUP($CM353,'SBA Size Standards'!$B$3:$G$57,MATCH('SBA Size Standards'!$E$3,'SBA Size Standards'!$B$3:$G$3,0),FALSE)),"")</f>
        <v>16500000</v>
      </c>
      <c r="CU353" s="86" t="str">
        <f>IF($CQ353="Y",IF($CS353="Revenue","N/A",VLOOKUP($CM353,'SBA Size Standards'!$B$3:$G$57,MATCH('SBA Size Standards'!$F$3,'SBA Size Standards'!$B$3:$G$3,0),FALSE)),"")</f>
        <v>N/A</v>
      </c>
      <c r="CV353" t="str">
        <f>IF($CQ353="Y",IF(OR(AND($CS353="Employment",$CL353&lt;$CU353),AND($CS353="Revenue",$CK353&lt;$CT353)),"YES","NO"),"")</f>
        <v>YES</v>
      </c>
      <c r="CW353" s="90" t="str">
        <f>IF($CQ353="Y",INDEX('SBA Size Standards'!$N$3:$N$12,MATCH($CK353,'SBA Size Standards'!$O$3:$O$12,1)),"")</f>
        <v>$100,001 - $500,000</v>
      </c>
      <c r="CX353" s="122" t="s">
        <v>4640</v>
      </c>
      <c r="CY353" s="122">
        <f>INDEX('NM O&amp;G Production'!$P$3:$P$537,MATCH(CX353,'NM O&amp;G Production'!$Q$3:$Q$537,0))</f>
        <v>221</v>
      </c>
      <c r="CZ353" s="122" t="str">
        <f>INDEX('NM O&amp;G Production'!$O$3:$O$537,MATCH(CY353,'NM O&amp;G Production'!$P$3:$P$537,0))</f>
        <v>Yes</v>
      </c>
      <c r="DA353" s="127">
        <f>INDEX('NM O&amp;G Production'!$K$3:$O$537,MATCH($CY353,'NM O&amp;G Production'!$P$3:$P$537,0),MATCH(DA$2,'NM O&amp;G Production'!$K$2:$O$2,0))</f>
        <v>2</v>
      </c>
      <c r="DB353" s="127">
        <f>INDEX('NM O&amp;G Production'!$K$3:$O$537,MATCH($CY353,'NM O&amp;G Production'!$P$3:$P$537,0),MATCH(DB$2,'NM O&amp;G Production'!$K$2:$O$2,0))</f>
        <v>25</v>
      </c>
      <c r="DC353" s="127">
        <f>DA353+DB353</f>
        <v>27</v>
      </c>
      <c r="DD353" s="127">
        <f>INDEX('NM O&amp;G Production'!$K$3:$O$537,MATCH($CY353,'NM O&amp;G Production'!$P$3:$P$537,0),MATCH(DD$2,'NM O&amp;G Production'!$K$2:$O$2,0))</f>
        <v>68051</v>
      </c>
      <c r="DE353" s="127">
        <f>INDEX('NM O&amp;G Production'!$K$3:$O$537,MATCH($CY353,'NM O&amp;G Production'!$P$3:$P$537,0),MATCH(DE$2,'NM O&amp;G Production'!$K$2:$O$2,0))</f>
        <v>10968</v>
      </c>
      <c r="DF353" s="258">
        <f>CK353/(DB353+DA353)</f>
        <v>7505.5925925925922</v>
      </c>
      <c r="DG353" s="57">
        <f>DD353*(12/18)*1.06*'Oil and Gas Prices'!$C$18</f>
        <v>114933.60226666667</v>
      </c>
      <c r="DH353" s="284">
        <f>DE353*(12/18)*'Oil and Gas Prices'!$C$4</f>
        <v>329040</v>
      </c>
      <c r="DI353" s="284">
        <f>DG353+DH353</f>
        <v>443973.60226666665</v>
      </c>
      <c r="DJ353" s="57">
        <f>(DG353+DH353)/(DA353+DB353)</f>
        <v>16443.466750617285</v>
      </c>
      <c r="DK353" s="318"/>
    </row>
    <row r="354" spans="1:115" x14ac:dyDescent="0.25">
      <c r="A354" t="s">
        <v>3613</v>
      </c>
      <c r="B354" t="s">
        <v>3614</v>
      </c>
      <c r="D354" t="s">
        <v>3615</v>
      </c>
      <c r="E354" t="s">
        <v>80</v>
      </c>
      <c r="F354">
        <v>76087</v>
      </c>
      <c r="G354" t="s">
        <v>62</v>
      </c>
      <c r="I354">
        <v>534</v>
      </c>
      <c r="J354" t="s">
        <v>63</v>
      </c>
      <c r="K354" t="s">
        <v>4133</v>
      </c>
      <c r="L354" t="s">
        <v>1810</v>
      </c>
      <c r="M354">
        <v>9</v>
      </c>
      <c r="N354" t="s">
        <v>3616</v>
      </c>
      <c r="O354" t="s">
        <v>3617</v>
      </c>
      <c r="Q354" t="s">
        <v>3618</v>
      </c>
      <c r="R354" t="s">
        <v>3615</v>
      </c>
      <c r="S354" t="s">
        <v>94</v>
      </c>
      <c r="T354" t="s">
        <v>3619</v>
      </c>
      <c r="U354" t="s">
        <v>62</v>
      </c>
      <c r="V354">
        <v>8178709001</v>
      </c>
      <c r="W354" s="1">
        <v>195094</v>
      </c>
      <c r="X354">
        <v>3</v>
      </c>
      <c r="Y354">
        <v>3</v>
      </c>
      <c r="Z354">
        <v>2018</v>
      </c>
      <c r="AA354" t="s">
        <v>70</v>
      </c>
      <c r="AD354" t="s">
        <v>99</v>
      </c>
      <c r="AE354">
        <v>1311</v>
      </c>
      <c r="AF354" t="s">
        <v>100</v>
      </c>
      <c r="AI354">
        <v>13110101</v>
      </c>
      <c r="AJ354" t="s">
        <v>102</v>
      </c>
      <c r="AM354">
        <v>211120</v>
      </c>
      <c r="AN354" t="s">
        <v>104</v>
      </c>
      <c r="AQ354" t="s">
        <v>75</v>
      </c>
      <c r="AT354" t="s">
        <v>76</v>
      </c>
      <c r="BF354">
        <v>0</v>
      </c>
      <c r="BG354">
        <v>0</v>
      </c>
      <c r="CK354" s="19">
        <f>IF(BQ354&gt;0,BQ354,W354)</f>
        <v>195094</v>
      </c>
      <c r="CL354" s="20">
        <f>IF(BS354&gt;0,BS354,Y354)</f>
        <v>3</v>
      </c>
      <c r="CM354" s="34">
        <f>IF(CG354&gt;0,CG354,AM354)</f>
        <v>211120</v>
      </c>
      <c r="CN354" s="80">
        <f>IF($BH354="",1,COUNTIF($BH$3:$BH354,$BH354))</f>
        <v>1</v>
      </c>
      <c r="CP354" t="str">
        <f>IF($K354="Standard Match","Match",IF($K354="Name Only Match",IF($CO354="Yes","Match","Name Only Match"),"No Match"))</f>
        <v>Match</v>
      </c>
      <c r="CQ354" s="35" t="str">
        <f>IF(AND(CP354="Match",CK354&gt;0,CL354&gt;0),"Y","N")</f>
        <v>Y</v>
      </c>
      <c r="CS354" t="str">
        <f>IF($CQ354="Y",VLOOKUP($CM354,'SBA Size Standards'!$B$3:$G$57,MATCH('SBA Size Standards'!$G$3,'SBA Size Standards'!$B$3:$G$3,0),FALSE),"")</f>
        <v>Employment</v>
      </c>
      <c r="CT354" s="60" t="str">
        <f>IF(CQ354="Y",IF($CS354="Employment","N/A",VLOOKUP($CM354,'SBA Size Standards'!$B$3:$G$57,MATCH('SBA Size Standards'!$E$3,'SBA Size Standards'!$B$3:$G$3,0),FALSE)),"")</f>
        <v>N/A</v>
      </c>
      <c r="CU354" s="86">
        <f>IF($CQ354="Y",IF($CS354="Revenue","N/A",VLOOKUP($CM354,'SBA Size Standards'!$B$3:$G$57,MATCH('SBA Size Standards'!$F$3,'SBA Size Standards'!$B$3:$G$3,0),FALSE)),"")</f>
        <v>1250</v>
      </c>
      <c r="CV354" t="str">
        <f>IF($CQ354="Y",IF(OR(AND($CS354="Employment",$CL354&lt;$CU354),AND($CS354="Revenue",$CK354&lt;$CT354)),"YES","NO"),"")</f>
        <v>YES</v>
      </c>
      <c r="CW354" s="90" t="str">
        <f>IF($CQ354="Y",INDEX('SBA Size Standards'!$N$3:$N$12,MATCH($CK354,'SBA Size Standards'!$O$3:$O$12,1)),"")</f>
        <v>$100,001 - $500,000</v>
      </c>
      <c r="CX354" s="122" t="s">
        <v>4799</v>
      </c>
      <c r="CY354" s="122">
        <f>INDEX('NM O&amp;G Production'!$P$3:$P$537,MATCH(CX354,'NM O&amp;G Production'!$Q$3:$Q$537,0))</f>
        <v>534</v>
      </c>
      <c r="CZ354" s="122" t="str">
        <f>INDEX('NM O&amp;G Production'!$O$3:$O$537,MATCH(CY354,'NM O&amp;G Production'!$P$3:$P$537,0))</f>
        <v>Yes</v>
      </c>
      <c r="DA354" s="127">
        <f>INDEX('NM O&amp;G Production'!$K$3:$O$537,MATCH($CY354,'NM O&amp;G Production'!$P$3:$P$537,0),MATCH(DA$2,'NM O&amp;G Production'!$K$2:$O$2,0))</f>
        <v>1</v>
      </c>
      <c r="DB354" s="127">
        <f>INDEX('NM O&amp;G Production'!$K$3:$O$537,MATCH($CY354,'NM O&amp;G Production'!$P$3:$P$537,0),MATCH(DB$2,'NM O&amp;G Production'!$K$2:$O$2,0))</f>
        <v>9</v>
      </c>
      <c r="DC354" s="127">
        <f>DA354+DB354</f>
        <v>10</v>
      </c>
      <c r="DD354" s="127">
        <f>INDEX('NM O&amp;G Production'!$K$3:$O$537,MATCH($CY354,'NM O&amp;G Production'!$P$3:$P$537,0),MATCH(DD$2,'NM O&amp;G Production'!$K$2:$O$2,0))</f>
        <v>60351</v>
      </c>
      <c r="DE354" s="127">
        <f>INDEX('NM O&amp;G Production'!$K$3:$O$537,MATCH($CY354,'NM O&amp;G Production'!$P$3:$P$537,0),MATCH(DE$2,'NM O&amp;G Production'!$K$2:$O$2,0))</f>
        <v>10727</v>
      </c>
      <c r="DF354" s="258">
        <f>CK354/(DB354+DA354)</f>
        <v>19509.400000000001</v>
      </c>
      <c r="DG354" s="57">
        <f>DD354*(12/18)*1.06*'Oil and Gas Prices'!$C$18</f>
        <v>101928.8156</v>
      </c>
      <c r="DH354" s="284">
        <f>DE354*(12/18)*'Oil and Gas Prices'!$C$4</f>
        <v>321810</v>
      </c>
      <c r="DI354" s="284">
        <f>DG354+DH354</f>
        <v>423738.81559999997</v>
      </c>
      <c r="DJ354" s="57">
        <f>(DG354+DH354)/(DA354+DB354)</f>
        <v>42373.881559999994</v>
      </c>
      <c r="DK354" s="318"/>
    </row>
    <row r="355" spans="1:115" x14ac:dyDescent="0.25">
      <c r="A355" t="s">
        <v>898</v>
      </c>
      <c r="B355" t="s">
        <v>899</v>
      </c>
      <c r="D355" t="s">
        <v>153</v>
      </c>
      <c r="E355" t="s">
        <v>80</v>
      </c>
      <c r="F355">
        <v>79705</v>
      </c>
      <c r="G355" t="s">
        <v>62</v>
      </c>
      <c r="I355">
        <v>115</v>
      </c>
      <c r="J355" t="s">
        <v>63</v>
      </c>
      <c r="K355" t="s">
        <v>4133</v>
      </c>
      <c r="L355" t="s">
        <v>113</v>
      </c>
      <c r="M355">
        <v>8</v>
      </c>
      <c r="N355" t="s">
        <v>900</v>
      </c>
      <c r="O355" t="s">
        <v>901</v>
      </c>
      <c r="Q355" t="s">
        <v>902</v>
      </c>
      <c r="R355" t="s">
        <v>153</v>
      </c>
      <c r="S355" t="s">
        <v>94</v>
      </c>
      <c r="T355" t="s">
        <v>903</v>
      </c>
      <c r="U355" t="s">
        <v>62</v>
      </c>
      <c r="V355">
        <v>4326180678</v>
      </c>
      <c r="W355" s="1">
        <v>192991</v>
      </c>
      <c r="X355">
        <v>2</v>
      </c>
      <c r="Y355">
        <v>2</v>
      </c>
      <c r="Z355">
        <v>2007</v>
      </c>
      <c r="AA355" t="s">
        <v>70</v>
      </c>
      <c r="AB355" t="s">
        <v>904</v>
      </c>
      <c r="AC355" t="s">
        <v>425</v>
      </c>
      <c r="AD355" t="s">
        <v>71</v>
      </c>
      <c r="AE355">
        <v>1389</v>
      </c>
      <c r="AF355" t="s">
        <v>72</v>
      </c>
      <c r="AI355">
        <v>13899912</v>
      </c>
      <c r="AJ355" t="s">
        <v>426</v>
      </c>
      <c r="AM355">
        <v>213112</v>
      </c>
      <c r="AN355" t="s">
        <v>74</v>
      </c>
      <c r="AQ355" t="s">
        <v>75</v>
      </c>
      <c r="AT355" t="s">
        <v>76</v>
      </c>
      <c r="BF355">
        <v>0</v>
      </c>
      <c r="BG355">
        <v>0</v>
      </c>
      <c r="CK355" s="19">
        <f>IF(BQ355&gt;0,BQ355,W355)</f>
        <v>192991</v>
      </c>
      <c r="CL355" s="20">
        <f>IF(BS355&gt;0,BS355,Y355)</f>
        <v>2</v>
      </c>
      <c r="CM355" s="34">
        <f>IF(CG355&gt;0,CG355,AM355)</f>
        <v>213112</v>
      </c>
      <c r="CN355" s="80">
        <f>IF($BH355="",1,COUNTIF($BH$3:$BH355,$BH355))</f>
        <v>1</v>
      </c>
      <c r="CP355" t="str">
        <f>IF($K355="Standard Match","Match",IF($K355="Name Only Match",IF($CO355="Yes","Match","Name Only Match"),"No Match"))</f>
        <v>Match</v>
      </c>
      <c r="CQ355" s="35" t="str">
        <f>IF(AND(CP355="Match",CK355&gt;0,CL355&gt;0),"Y","N")</f>
        <v>Y</v>
      </c>
      <c r="CS355" t="str">
        <f>IF($CQ355="Y",VLOOKUP($CM355,'SBA Size Standards'!$B$3:$G$57,MATCH('SBA Size Standards'!$G$3,'SBA Size Standards'!$B$3:$G$3,0),FALSE),"")</f>
        <v>Revenue</v>
      </c>
      <c r="CT355" s="60">
        <f>IF(CQ355="Y",IF($CS355="Employment","N/A",VLOOKUP($CM355,'SBA Size Standards'!$B$3:$G$57,MATCH('SBA Size Standards'!$E$3,'SBA Size Standards'!$B$3:$G$3,0),FALSE)),"")</f>
        <v>41500000</v>
      </c>
      <c r="CU355" s="86" t="str">
        <f>IF($CQ355="Y",IF($CS355="Revenue","N/A",VLOOKUP($CM355,'SBA Size Standards'!$B$3:$G$57,MATCH('SBA Size Standards'!$F$3,'SBA Size Standards'!$B$3:$G$3,0),FALSE)),"")</f>
        <v>N/A</v>
      </c>
      <c r="CV355" t="str">
        <f>IF($CQ355="Y",IF(OR(AND($CS355="Employment",$CL355&lt;$CU355),AND($CS355="Revenue",$CK355&lt;$CT355)),"YES","NO"),"")</f>
        <v>YES</v>
      </c>
      <c r="CW355" s="90" t="str">
        <f>IF($CQ355="Y",INDEX('SBA Size Standards'!$N$3:$N$12,MATCH($CK355,'SBA Size Standards'!$O$3:$O$12,1)),"")</f>
        <v>$100,001 - $500,000</v>
      </c>
      <c r="CX355" s="122" t="s">
        <v>4828</v>
      </c>
      <c r="CY355" s="122">
        <f>INDEX('NM O&amp;G Production'!$P$3:$P$537,MATCH(CX355,'NM O&amp;G Production'!$Q$3:$Q$537,0))</f>
        <v>115</v>
      </c>
      <c r="CZ355" s="122" t="str">
        <f>INDEX('NM O&amp;G Production'!$O$3:$O$537,MATCH(CY355,'NM O&amp;G Production'!$P$3:$P$537,0))</f>
        <v>No</v>
      </c>
      <c r="DA355" s="127">
        <f>INDEX('NM O&amp;G Production'!$K$3:$O$537,MATCH($CY355,'NM O&amp;G Production'!$P$3:$P$537,0),MATCH(DA$2,'NM O&amp;G Production'!$K$2:$O$2,0))</f>
        <v>0</v>
      </c>
      <c r="DB355" s="127">
        <f>INDEX('NM O&amp;G Production'!$K$3:$O$537,MATCH($CY355,'NM O&amp;G Production'!$P$3:$P$537,0),MATCH(DB$2,'NM O&amp;G Production'!$K$2:$O$2,0))</f>
        <v>0</v>
      </c>
      <c r="DC355" s="127"/>
      <c r="DD355" s="127">
        <f>INDEX('NM O&amp;G Production'!$K$3:$O$537,MATCH($CY355,'NM O&amp;G Production'!$P$3:$P$537,0),MATCH(DD$2,'NM O&amp;G Production'!$K$2:$O$2,0))</f>
        <v>0</v>
      </c>
      <c r="DE355" s="127">
        <f>INDEX('NM O&amp;G Production'!$K$3:$O$537,MATCH($CY355,'NM O&amp;G Production'!$P$3:$P$537,0),MATCH(DE$2,'NM O&amp;G Production'!$K$2:$O$2,0))</f>
        <v>0</v>
      </c>
      <c r="DF355" s="258" t="e">
        <f>CK355/(DB355+DA355)</f>
        <v>#DIV/0!</v>
      </c>
      <c r="DG355" s="57">
        <f>DD355*(12/18)*1.06*'Oil and Gas Prices'!$C$18</f>
        <v>0</v>
      </c>
      <c r="DH355" s="284">
        <f>DE355*(12/18)*'Oil and Gas Prices'!$C$4</f>
        <v>0</v>
      </c>
      <c r="DI355" s="284"/>
      <c r="DJ355" s="57" t="e">
        <f>(DG355+DH355)/(DA355+DB355)</f>
        <v>#DIV/0!</v>
      </c>
      <c r="DK355" s="18" t="e">
        <f>CK355/DI355</f>
        <v>#DIV/0!</v>
      </c>
    </row>
    <row r="356" spans="1:115" x14ac:dyDescent="0.25">
      <c r="A356" t="s">
        <v>2084</v>
      </c>
      <c r="B356" t="s">
        <v>2085</v>
      </c>
      <c r="D356" t="s">
        <v>153</v>
      </c>
      <c r="E356" t="s">
        <v>80</v>
      </c>
      <c r="F356">
        <v>79710</v>
      </c>
      <c r="G356" t="s">
        <v>62</v>
      </c>
      <c r="I356">
        <v>292</v>
      </c>
      <c r="J356" t="s">
        <v>63</v>
      </c>
      <c r="K356" t="s">
        <v>4133</v>
      </c>
      <c r="L356" t="s">
        <v>149</v>
      </c>
      <c r="M356">
        <v>10</v>
      </c>
      <c r="N356" t="s">
        <v>900</v>
      </c>
      <c r="O356" t="s">
        <v>901</v>
      </c>
      <c r="Q356" t="s">
        <v>902</v>
      </c>
      <c r="R356" t="s">
        <v>153</v>
      </c>
      <c r="S356" t="s">
        <v>94</v>
      </c>
      <c r="T356" t="s">
        <v>903</v>
      </c>
      <c r="U356" t="s">
        <v>62</v>
      </c>
      <c r="V356">
        <v>4326180678</v>
      </c>
      <c r="W356" s="1">
        <v>192991</v>
      </c>
      <c r="X356">
        <v>2</v>
      </c>
      <c r="Y356">
        <v>2</v>
      </c>
      <c r="Z356">
        <v>2007</v>
      </c>
      <c r="AA356" t="s">
        <v>70</v>
      </c>
      <c r="AB356" t="s">
        <v>904</v>
      </c>
      <c r="AC356" t="s">
        <v>425</v>
      </c>
      <c r="AD356" t="s">
        <v>71</v>
      </c>
      <c r="AE356">
        <v>1389</v>
      </c>
      <c r="AF356" t="s">
        <v>72</v>
      </c>
      <c r="AI356">
        <v>13899912</v>
      </c>
      <c r="AJ356" t="s">
        <v>426</v>
      </c>
      <c r="AM356">
        <v>213112</v>
      </c>
      <c r="AN356" t="s">
        <v>74</v>
      </c>
      <c r="AQ356" t="s">
        <v>75</v>
      </c>
      <c r="AT356" t="s">
        <v>76</v>
      </c>
      <c r="BF356">
        <v>0</v>
      </c>
      <c r="BG356">
        <v>0</v>
      </c>
      <c r="CK356" s="19">
        <f>IF(BQ356&gt;0,BQ356,W356)</f>
        <v>192991</v>
      </c>
      <c r="CL356" s="20">
        <f>IF(BS356&gt;0,BS356,Y356)</f>
        <v>2</v>
      </c>
      <c r="CM356" s="34">
        <f>IF(CG356&gt;0,CG356,AM356)</f>
        <v>213112</v>
      </c>
      <c r="CN356" s="80">
        <f>IF($BH356="",1,COUNTIF($BH$3:$BH356,$BH356))</f>
        <v>1</v>
      </c>
      <c r="CP356" t="str">
        <f>IF($K356="Standard Match","Match",IF($K356="Name Only Match",IF($CO356="Yes","Match","Name Only Match"),"No Match"))</f>
        <v>Match</v>
      </c>
      <c r="CQ356" s="35" t="str">
        <f>IF(AND(CP356="Match",CK356&gt;0,CL356&gt;0),"Y","N")</f>
        <v>Y</v>
      </c>
      <c r="CS356" t="str">
        <f>IF($CQ356="Y",VLOOKUP($CM356,'SBA Size Standards'!$B$3:$G$57,MATCH('SBA Size Standards'!$G$3,'SBA Size Standards'!$B$3:$G$3,0),FALSE),"")</f>
        <v>Revenue</v>
      </c>
      <c r="CT356" s="60">
        <f>IF(CQ356="Y",IF($CS356="Employment","N/A",VLOOKUP($CM356,'SBA Size Standards'!$B$3:$G$57,MATCH('SBA Size Standards'!$E$3,'SBA Size Standards'!$B$3:$G$3,0),FALSE)),"")</f>
        <v>41500000</v>
      </c>
      <c r="CU356" s="86" t="str">
        <f>IF($CQ356="Y",IF($CS356="Revenue","N/A",VLOOKUP($CM356,'SBA Size Standards'!$B$3:$G$57,MATCH('SBA Size Standards'!$F$3,'SBA Size Standards'!$B$3:$G$3,0),FALSE)),"")</f>
        <v>N/A</v>
      </c>
      <c r="CV356" t="str">
        <f>IF($CQ356="Y",IF(OR(AND($CS356="Employment",$CL356&lt;$CU356),AND($CS356="Revenue",$CK356&lt;$CT356)),"YES","NO"),"")</f>
        <v>YES</v>
      </c>
      <c r="CW356" s="90" t="str">
        <f>IF($CQ356="Y",INDEX('SBA Size Standards'!$N$3:$N$12,MATCH($CK356,'SBA Size Standards'!$O$3:$O$12,1)),"")</f>
        <v>$100,001 - $500,000</v>
      </c>
      <c r="CX356" s="122" t="s">
        <v>4672</v>
      </c>
      <c r="CY356" s="122">
        <f>INDEX('NM O&amp;G Production'!$P$3:$P$537,MATCH(CX356,'NM O&amp;G Production'!$Q$3:$Q$537,0))</f>
        <v>292</v>
      </c>
      <c r="CZ356" s="122" t="str">
        <f>INDEX('NM O&amp;G Production'!$O$3:$O$537,MATCH(CY356,'NM O&amp;G Production'!$P$3:$P$537,0))</f>
        <v>Yes</v>
      </c>
      <c r="DA356" s="127">
        <f>INDEX('NM O&amp;G Production'!$K$3:$O$537,MATCH($CY356,'NM O&amp;G Production'!$P$3:$P$537,0),MATCH(DA$2,'NM O&amp;G Production'!$K$2:$O$2,0))</f>
        <v>0</v>
      </c>
      <c r="DB356" s="127">
        <f>INDEX('NM O&amp;G Production'!$K$3:$O$537,MATCH($CY356,'NM O&amp;G Production'!$P$3:$P$537,0),MATCH(DB$2,'NM O&amp;G Production'!$K$2:$O$2,0))</f>
        <v>5</v>
      </c>
      <c r="DC356" s="127">
        <f>DA356+DB356</f>
        <v>5</v>
      </c>
      <c r="DD356" s="127">
        <f>INDEX('NM O&amp;G Production'!$K$3:$O$537,MATCH($CY356,'NM O&amp;G Production'!$P$3:$P$537,0),MATCH(DD$2,'NM O&amp;G Production'!$K$2:$O$2,0))</f>
        <v>0</v>
      </c>
      <c r="DE356" s="127">
        <f>INDEX('NM O&amp;G Production'!$K$3:$O$537,MATCH($CY356,'NM O&amp;G Production'!$P$3:$P$537,0),MATCH(DE$2,'NM O&amp;G Production'!$K$2:$O$2,0))</f>
        <v>754</v>
      </c>
      <c r="DF356" s="258">
        <f>CK356/(DB356+DA356)</f>
        <v>38598.199999999997</v>
      </c>
      <c r="DG356" s="57">
        <f>DD356*(12/18)*1.06*'Oil and Gas Prices'!$C$18</f>
        <v>0</v>
      </c>
      <c r="DH356" s="284">
        <f>DE356*(12/18)*'Oil and Gas Prices'!$C$4</f>
        <v>22620</v>
      </c>
      <c r="DI356" s="284">
        <f>DG356+DH356</f>
        <v>22620</v>
      </c>
      <c r="DJ356" s="57">
        <f>(DG356+DH356)/(DA356+DB356)</f>
        <v>4524</v>
      </c>
      <c r="DK356" s="318"/>
    </row>
    <row r="357" spans="1:115" x14ac:dyDescent="0.25">
      <c r="A357" s="21" t="s">
        <v>3238</v>
      </c>
      <c r="B357" t="s">
        <v>3239</v>
      </c>
      <c r="D357" t="s">
        <v>3240</v>
      </c>
      <c r="E357" t="s">
        <v>80</v>
      </c>
      <c r="F357">
        <v>75187</v>
      </c>
      <c r="G357" t="s">
        <v>62</v>
      </c>
      <c r="I357">
        <v>476</v>
      </c>
      <c r="J357" t="s">
        <v>63</v>
      </c>
      <c r="K357" t="s">
        <v>4134</v>
      </c>
      <c r="L357" t="s">
        <v>3627</v>
      </c>
      <c r="M357">
        <v>8</v>
      </c>
      <c r="N357" t="s">
        <v>3997</v>
      </c>
      <c r="O357" s="128" t="s">
        <v>5093</v>
      </c>
      <c r="Q357" t="s">
        <v>5094</v>
      </c>
      <c r="R357" t="s">
        <v>3240</v>
      </c>
      <c r="S357" t="s">
        <v>94</v>
      </c>
      <c r="T357" t="s">
        <v>5095</v>
      </c>
      <c r="U357" t="s">
        <v>62</v>
      </c>
      <c r="V357">
        <v>2144615600</v>
      </c>
      <c r="W357" s="1">
        <v>191037</v>
      </c>
      <c r="X357">
        <v>2</v>
      </c>
      <c r="Y357">
        <v>2</v>
      </c>
      <c r="Z357">
        <v>2014</v>
      </c>
      <c r="AA357" t="s">
        <v>70</v>
      </c>
      <c r="AB357" t="s">
        <v>5096</v>
      </c>
      <c r="AC357" t="s">
        <v>231</v>
      </c>
      <c r="AD357" t="s">
        <v>1153</v>
      </c>
      <c r="AE357">
        <v>4789</v>
      </c>
      <c r="AF357" t="s">
        <v>1154</v>
      </c>
      <c r="AI357">
        <v>47890000</v>
      </c>
      <c r="AJ357" t="s">
        <v>1155</v>
      </c>
      <c r="AM357">
        <v>488999</v>
      </c>
      <c r="AN357" t="s">
        <v>1156</v>
      </c>
      <c r="AQ357" t="s">
        <v>75</v>
      </c>
      <c r="AT357" t="s">
        <v>76</v>
      </c>
      <c r="BF357">
        <v>0</v>
      </c>
      <c r="BG357">
        <v>0</v>
      </c>
      <c r="CK357" s="19">
        <f>IF(BQ357&gt;0,BQ357,W357)</f>
        <v>191037</v>
      </c>
      <c r="CL357" s="20">
        <f>IF(BS357&gt;0,BS357,Y357)</f>
        <v>2</v>
      </c>
      <c r="CM357" s="34">
        <f>IF(CG357&gt;0,CG357,AM357)</f>
        <v>488999</v>
      </c>
      <c r="CN357" s="80">
        <f>IF($BH357="",1,COUNTIF($BH$3:$BH357,$BH357))</f>
        <v>1</v>
      </c>
      <c r="CO357" s="33" t="s">
        <v>4386</v>
      </c>
      <c r="CP357" t="str">
        <f>IF($K357="Standard Match","Match",IF($K357="Name Only Match",IF($CO357="Yes","Match","Name Only Match"),"No Match"))</f>
        <v>Match</v>
      </c>
      <c r="CQ357" s="35" t="str">
        <f>IF(AND(CP357="Match",CK357&gt;0,CL357&gt;0),"Y","N")</f>
        <v>Y</v>
      </c>
      <c r="CR357" t="s">
        <v>5078</v>
      </c>
      <c r="CS357" t="str">
        <f>IF($CQ357="Y",VLOOKUP($CM357,'SBA Size Standards'!$B$3:$G$57,MATCH('SBA Size Standards'!$G$3,'SBA Size Standards'!$B$3:$G$3,0),FALSE),"")</f>
        <v>Revenue</v>
      </c>
      <c r="CT357" s="60">
        <f>IF(CQ357="Y",IF($CS357="Employment","N/A",VLOOKUP($CM357,'SBA Size Standards'!$B$3:$G$57,MATCH('SBA Size Standards'!$E$3,'SBA Size Standards'!$B$3:$G$3,0),FALSE)),"")</f>
        <v>8000000</v>
      </c>
      <c r="CU357" s="86" t="str">
        <f>IF($CQ357="Y",IF($CS357="Revenue","N/A",VLOOKUP($CM357,'SBA Size Standards'!$B$3:$G$57,MATCH('SBA Size Standards'!$F$3,'SBA Size Standards'!$B$3:$G$3,0),FALSE)),"")</f>
        <v>N/A</v>
      </c>
      <c r="CV357" t="str">
        <f>IF($CQ357="Y",IF(OR(AND($CS357="Employment",$CL357&lt;$CU357),AND($CS357="Revenue",$CK357&lt;$CT357)),"YES","NO"),"")</f>
        <v>YES</v>
      </c>
      <c r="CW357" s="90" t="str">
        <f>IF($CQ357="Y",INDEX('SBA Size Standards'!$N$3:$N$12,MATCH($CK357,'SBA Size Standards'!$O$3:$O$12,1)),"")</f>
        <v>$100,001 - $500,000</v>
      </c>
      <c r="CX357" s="122" t="s">
        <v>4998</v>
      </c>
      <c r="CY357" s="122">
        <f>INDEX('NM O&amp;G Production'!$P$3:$P$537,MATCH(CX357,'NM O&amp;G Production'!$Q$3:$Q$537,0))</f>
        <v>476</v>
      </c>
      <c r="CZ357" s="122" t="str">
        <f>INDEX('NM O&amp;G Production'!$O$3:$O$537,MATCH(CY357,'NM O&amp;G Production'!$P$3:$P$537,0))</f>
        <v>No</v>
      </c>
      <c r="DA357" s="127">
        <f>INDEX('NM O&amp;G Production'!$K$3:$O$537,MATCH($CY357,'NM O&amp;G Production'!$P$3:$P$537,0),MATCH(DA$2,'NM O&amp;G Production'!$K$2:$O$2,0))</f>
        <v>0</v>
      </c>
      <c r="DB357" s="127">
        <f>INDEX('NM O&amp;G Production'!$K$3:$O$537,MATCH($CY357,'NM O&amp;G Production'!$P$3:$P$537,0),MATCH(DB$2,'NM O&amp;G Production'!$K$2:$O$2,0))</f>
        <v>0</v>
      </c>
      <c r="DC357" s="127"/>
      <c r="DD357" s="127">
        <f>INDEX('NM O&amp;G Production'!$K$3:$O$537,MATCH($CY357,'NM O&amp;G Production'!$P$3:$P$537,0),MATCH(DD$2,'NM O&amp;G Production'!$K$2:$O$2,0))</f>
        <v>0</v>
      </c>
      <c r="DE357" s="127">
        <f>INDEX('NM O&amp;G Production'!$K$3:$O$537,MATCH($CY357,'NM O&amp;G Production'!$P$3:$P$537,0),MATCH(DE$2,'NM O&amp;G Production'!$K$2:$O$2,0))</f>
        <v>0</v>
      </c>
      <c r="DF357" s="258" t="e">
        <f>CK357/(DB357+DA357)</f>
        <v>#DIV/0!</v>
      </c>
      <c r="DG357" s="57">
        <f>DD357*(12/18)*1.06*'Oil and Gas Prices'!$C$18</f>
        <v>0</v>
      </c>
      <c r="DH357" s="284">
        <f>DE357*(12/18)*'Oil and Gas Prices'!$C$4</f>
        <v>0</v>
      </c>
      <c r="DI357" s="284"/>
      <c r="DJ357" s="57" t="e">
        <f>(DG357+DH357)/(DA357+DB357)</f>
        <v>#DIV/0!</v>
      </c>
      <c r="DK357" s="18" t="e">
        <f>CK357/DI357</f>
        <v>#DIV/0!</v>
      </c>
    </row>
    <row r="358" spans="1:115" x14ac:dyDescent="0.25">
      <c r="A358" t="s">
        <v>1884</v>
      </c>
      <c r="B358" t="s">
        <v>1885</v>
      </c>
      <c r="D358" t="s">
        <v>88</v>
      </c>
      <c r="E358" t="s">
        <v>80</v>
      </c>
      <c r="F358">
        <v>76102</v>
      </c>
      <c r="G358" t="s">
        <v>62</v>
      </c>
      <c r="I358">
        <v>260</v>
      </c>
      <c r="J358" t="s">
        <v>404</v>
      </c>
      <c r="K358" t="s">
        <v>4133</v>
      </c>
      <c r="L358" t="s">
        <v>113</v>
      </c>
      <c r="M358">
        <v>8</v>
      </c>
      <c r="N358" t="s">
        <v>1886</v>
      </c>
      <c r="O358" t="s">
        <v>1887</v>
      </c>
      <c r="Q358" t="s">
        <v>1888</v>
      </c>
      <c r="R358" t="s">
        <v>88</v>
      </c>
      <c r="S358" t="s">
        <v>94</v>
      </c>
      <c r="T358" t="s">
        <v>1889</v>
      </c>
      <c r="U358" t="s">
        <v>62</v>
      </c>
      <c r="W358" s="1">
        <v>190000</v>
      </c>
      <c r="X358">
        <v>3</v>
      </c>
      <c r="Y358">
        <v>3</v>
      </c>
      <c r="AA358" t="s">
        <v>70</v>
      </c>
      <c r="AD358" t="s">
        <v>896</v>
      </c>
      <c r="AE358">
        <v>4923</v>
      </c>
      <c r="AF358" t="s">
        <v>894</v>
      </c>
      <c r="AI358">
        <v>49230000</v>
      </c>
      <c r="AJ358" t="s">
        <v>896</v>
      </c>
      <c r="AM358">
        <v>221210</v>
      </c>
      <c r="AN358" t="s">
        <v>166</v>
      </c>
      <c r="AQ358" t="s">
        <v>75</v>
      </c>
      <c r="AT358" t="s">
        <v>76</v>
      </c>
      <c r="BF358">
        <v>0</v>
      </c>
      <c r="BG358">
        <v>0</v>
      </c>
      <c r="CK358" s="19">
        <f>IF(BQ358&gt;0,BQ358,W358)</f>
        <v>190000</v>
      </c>
      <c r="CL358" s="20">
        <f>IF(BS358&gt;0,BS358,Y358)</f>
        <v>3</v>
      </c>
      <c r="CM358" s="34">
        <f>IF(CG358&gt;0,CG358,AM358)</f>
        <v>221210</v>
      </c>
      <c r="CN358" s="80">
        <f>IF($BH358="",1,COUNTIF($BH$3:$BH358,$BH358))</f>
        <v>1</v>
      </c>
      <c r="CP358" t="str">
        <f>IF($K358="Standard Match","Match",IF($K358="Name Only Match",IF($CO358="Yes","Match","Name Only Match"),"No Match"))</f>
        <v>Match</v>
      </c>
      <c r="CQ358" s="35" t="str">
        <f>IF(AND(CP358="Match",CK358&gt;0,CL358&gt;0),"Y","N")</f>
        <v>Y</v>
      </c>
      <c r="CS358" t="str">
        <f>IF($CQ358="Y",VLOOKUP($CM358,'SBA Size Standards'!$B$3:$G$57,MATCH('SBA Size Standards'!$G$3,'SBA Size Standards'!$B$3:$G$3,0),FALSE),"")</f>
        <v>Employment</v>
      </c>
      <c r="CT358" s="60" t="str">
        <f>IF(CQ358="Y",IF($CS358="Employment","N/A",VLOOKUP($CM358,'SBA Size Standards'!$B$3:$G$57,MATCH('SBA Size Standards'!$E$3,'SBA Size Standards'!$B$3:$G$3,0),FALSE)),"")</f>
        <v>N/A</v>
      </c>
      <c r="CU358" s="86">
        <f>IF($CQ358="Y",IF($CS358="Revenue","N/A",VLOOKUP($CM358,'SBA Size Standards'!$B$3:$G$57,MATCH('SBA Size Standards'!$F$3,'SBA Size Standards'!$B$3:$G$3,0),FALSE)),"")</f>
        <v>1000</v>
      </c>
      <c r="CV358" t="str">
        <f>IF($CQ358="Y",IF(OR(AND($CS358="Employment",$CL358&lt;$CU358),AND($CS358="Revenue",$CK358&lt;$CT358)),"YES","NO"),"")</f>
        <v>YES</v>
      </c>
      <c r="CW358" s="90" t="str">
        <f>IF($CQ358="Y",INDEX('SBA Size Standards'!$N$3:$N$12,MATCH($CK358,'SBA Size Standards'!$O$3:$O$12,1)),"")</f>
        <v>$100,001 - $500,000</v>
      </c>
      <c r="CX358" s="122" t="s">
        <v>4859</v>
      </c>
      <c r="CY358" s="122">
        <f>INDEX('NM O&amp;G Production'!$P$3:$P$537,MATCH(CX358,'NM O&amp;G Production'!$Q$3:$Q$537,0))</f>
        <v>260</v>
      </c>
      <c r="CZ358" s="122" t="str">
        <f>INDEX('NM O&amp;G Production'!$O$3:$O$537,MATCH(CY358,'NM O&amp;G Production'!$P$3:$P$537,0))</f>
        <v>No</v>
      </c>
      <c r="DA358" s="127">
        <f>INDEX('NM O&amp;G Production'!$K$3:$O$537,MATCH($CY358,'NM O&amp;G Production'!$P$3:$P$537,0),MATCH(DA$2,'NM O&amp;G Production'!$K$2:$O$2,0))</f>
        <v>0</v>
      </c>
      <c r="DB358" s="127">
        <f>INDEX('NM O&amp;G Production'!$K$3:$O$537,MATCH($CY358,'NM O&amp;G Production'!$P$3:$P$537,0),MATCH(DB$2,'NM O&amp;G Production'!$K$2:$O$2,0))</f>
        <v>0</v>
      </c>
      <c r="DC358" s="127"/>
      <c r="DD358" s="127">
        <f>INDEX('NM O&amp;G Production'!$K$3:$O$537,MATCH($CY358,'NM O&amp;G Production'!$P$3:$P$537,0),MATCH(DD$2,'NM O&amp;G Production'!$K$2:$O$2,0))</f>
        <v>0</v>
      </c>
      <c r="DE358" s="127">
        <f>INDEX('NM O&amp;G Production'!$K$3:$O$537,MATCH($CY358,'NM O&amp;G Production'!$P$3:$P$537,0),MATCH(DE$2,'NM O&amp;G Production'!$K$2:$O$2,0))</f>
        <v>0</v>
      </c>
      <c r="DF358" s="258" t="e">
        <f>CK358/(DB358+DA358)</f>
        <v>#DIV/0!</v>
      </c>
      <c r="DG358" s="57">
        <f>DD358*(12/18)*1.06*'Oil and Gas Prices'!$C$18</f>
        <v>0</v>
      </c>
      <c r="DH358" s="284">
        <f>DE358*(12/18)*'Oil and Gas Prices'!$C$4</f>
        <v>0</v>
      </c>
      <c r="DI358" s="284"/>
      <c r="DJ358" s="57" t="e">
        <f>(DG358+DH358)/(DA358+DB358)</f>
        <v>#DIV/0!</v>
      </c>
      <c r="DK358" s="18" t="e">
        <f>CK358/DI358</f>
        <v>#DIV/0!</v>
      </c>
    </row>
    <row r="359" spans="1:115" x14ac:dyDescent="0.25">
      <c r="A359" t="s">
        <v>2488</v>
      </c>
      <c r="B359" t="s">
        <v>2489</v>
      </c>
      <c r="D359" t="s">
        <v>137</v>
      </c>
      <c r="E359" t="s">
        <v>80</v>
      </c>
      <c r="F359">
        <v>79101</v>
      </c>
      <c r="G359" t="s">
        <v>62</v>
      </c>
      <c r="I359">
        <v>356</v>
      </c>
      <c r="J359" t="s">
        <v>89</v>
      </c>
      <c r="K359" t="s">
        <v>4133</v>
      </c>
      <c r="L359" t="s">
        <v>113</v>
      </c>
      <c r="M359">
        <v>8</v>
      </c>
      <c r="N359" t="s">
        <v>2490</v>
      </c>
      <c r="O359" t="s">
        <v>2491</v>
      </c>
      <c r="Q359" t="s">
        <v>2492</v>
      </c>
      <c r="R359" t="s">
        <v>137</v>
      </c>
      <c r="S359" t="s">
        <v>94</v>
      </c>
      <c r="T359" t="s">
        <v>2493</v>
      </c>
      <c r="U359" t="s">
        <v>62</v>
      </c>
      <c r="V359">
        <v>2819196380</v>
      </c>
      <c r="W359" s="1">
        <v>190000</v>
      </c>
      <c r="X359">
        <v>3</v>
      </c>
      <c r="Y359">
        <v>3</v>
      </c>
      <c r="Z359">
        <v>2012</v>
      </c>
      <c r="AA359" t="s">
        <v>70</v>
      </c>
      <c r="AD359" t="s">
        <v>253</v>
      </c>
      <c r="AE359">
        <v>5541</v>
      </c>
      <c r="AF359" t="s">
        <v>254</v>
      </c>
      <c r="AI359">
        <v>55419901</v>
      </c>
      <c r="AJ359" t="s">
        <v>255</v>
      </c>
      <c r="AM359">
        <v>447190</v>
      </c>
      <c r="AN359" t="s">
        <v>256</v>
      </c>
      <c r="AQ359" t="s">
        <v>75</v>
      </c>
      <c r="AT359" t="s">
        <v>76</v>
      </c>
      <c r="BF359">
        <v>0</v>
      </c>
      <c r="BG359">
        <v>0</v>
      </c>
      <c r="CK359" s="19">
        <f>IF(BQ359&gt;0,BQ359,W359)</f>
        <v>190000</v>
      </c>
      <c r="CL359" s="20">
        <f>IF(BS359&gt;0,BS359,Y359)</f>
        <v>3</v>
      </c>
      <c r="CM359" s="34">
        <f>IF(CG359&gt;0,CG359,AM359)</f>
        <v>447190</v>
      </c>
      <c r="CN359" s="80">
        <f>IF($BH359="",1,COUNTIF($BH$3:$BH359,$BH359))</f>
        <v>1</v>
      </c>
      <c r="CP359" t="str">
        <f>IF($K359="Standard Match","Match",IF($K359="Name Only Match",IF($CO359="Yes","Match","Name Only Match"),"No Match"))</f>
        <v>Match</v>
      </c>
      <c r="CQ359" s="35" t="str">
        <f>IF(AND(CP359="Match",CK359&gt;0,CL359&gt;0),"Y","N")</f>
        <v>Y</v>
      </c>
      <c r="CS359" t="str">
        <f>IF($CQ359="Y",VLOOKUP($CM359,'SBA Size Standards'!$B$3:$G$57,MATCH('SBA Size Standards'!$G$3,'SBA Size Standards'!$B$3:$G$3,0),FALSE),"")</f>
        <v>Revenue</v>
      </c>
      <c r="CT359" s="60">
        <f>IF(CQ359="Y",IF($CS359="Employment","N/A",VLOOKUP($CM359,'SBA Size Standards'!$B$3:$G$57,MATCH('SBA Size Standards'!$E$3,'SBA Size Standards'!$B$3:$G$3,0),FALSE)),"")</f>
        <v>16500000</v>
      </c>
      <c r="CU359" s="86" t="str">
        <f>IF($CQ359="Y",IF($CS359="Revenue","N/A",VLOOKUP($CM359,'SBA Size Standards'!$B$3:$G$57,MATCH('SBA Size Standards'!$F$3,'SBA Size Standards'!$B$3:$G$3,0),FALSE)),"")</f>
        <v>N/A</v>
      </c>
      <c r="CV359" t="str">
        <f>IF($CQ359="Y",IF(OR(AND($CS359="Employment",$CL359&lt;$CU359),AND($CS359="Revenue",$CK359&lt;$CT359)),"YES","NO"),"")</f>
        <v>YES</v>
      </c>
      <c r="CW359" s="90" t="str">
        <f>IF($CQ359="Y",INDEX('SBA Size Standards'!$N$3:$N$12,MATCH($CK359,'SBA Size Standards'!$O$3:$O$12,1)),"")</f>
        <v>$100,001 - $500,000</v>
      </c>
      <c r="CX359" s="122" t="s">
        <v>4884</v>
      </c>
      <c r="CY359" s="122">
        <f>INDEX('NM O&amp;G Production'!$P$3:$P$537,MATCH(CX359,'NM O&amp;G Production'!$Q$3:$Q$537,0))</f>
        <v>356</v>
      </c>
      <c r="CZ359" s="122" t="str">
        <f>INDEX('NM O&amp;G Production'!$O$3:$O$537,MATCH(CY359,'NM O&amp;G Production'!$P$3:$P$537,0))</f>
        <v>No</v>
      </c>
      <c r="DA359" s="127">
        <f>INDEX('NM O&amp;G Production'!$K$3:$O$537,MATCH($CY359,'NM O&amp;G Production'!$P$3:$P$537,0),MATCH(DA$2,'NM O&amp;G Production'!$K$2:$O$2,0))</f>
        <v>0</v>
      </c>
      <c r="DB359" s="127">
        <f>INDEX('NM O&amp;G Production'!$K$3:$O$537,MATCH($CY359,'NM O&amp;G Production'!$P$3:$P$537,0),MATCH(DB$2,'NM O&amp;G Production'!$K$2:$O$2,0))</f>
        <v>0</v>
      </c>
      <c r="DC359" s="127"/>
      <c r="DD359" s="127">
        <f>INDEX('NM O&amp;G Production'!$K$3:$O$537,MATCH($CY359,'NM O&amp;G Production'!$P$3:$P$537,0),MATCH(DD$2,'NM O&amp;G Production'!$K$2:$O$2,0))</f>
        <v>0</v>
      </c>
      <c r="DE359" s="127">
        <f>INDEX('NM O&amp;G Production'!$K$3:$O$537,MATCH($CY359,'NM O&amp;G Production'!$P$3:$P$537,0),MATCH(DE$2,'NM O&amp;G Production'!$K$2:$O$2,0))</f>
        <v>0</v>
      </c>
      <c r="DF359" s="258" t="e">
        <f>CK359/(DB359+DA359)</f>
        <v>#DIV/0!</v>
      </c>
      <c r="DG359" s="57">
        <f>DD359*(12/18)*1.06*'Oil and Gas Prices'!$C$18</f>
        <v>0</v>
      </c>
      <c r="DH359" s="284">
        <f>DE359*(12/18)*'Oil and Gas Prices'!$C$4</f>
        <v>0</v>
      </c>
      <c r="DI359" s="284"/>
      <c r="DJ359" s="57" t="e">
        <f>(DG359+DH359)/(DA359+DB359)</f>
        <v>#DIV/0!</v>
      </c>
      <c r="DK359" s="18" t="e">
        <f>CK359/DI359</f>
        <v>#DIV/0!</v>
      </c>
    </row>
    <row r="360" spans="1:115" x14ac:dyDescent="0.25">
      <c r="A360" t="s">
        <v>1277</v>
      </c>
      <c r="B360" t="s">
        <v>1278</v>
      </c>
      <c r="D360" t="s">
        <v>378</v>
      </c>
      <c r="E360" t="s">
        <v>80</v>
      </c>
      <c r="F360">
        <v>75225</v>
      </c>
      <c r="G360" t="s">
        <v>62</v>
      </c>
      <c r="I360">
        <v>167</v>
      </c>
      <c r="J360" t="s">
        <v>63</v>
      </c>
      <c r="K360" t="s">
        <v>4133</v>
      </c>
      <c r="L360" t="s">
        <v>113</v>
      </c>
      <c r="M360">
        <v>8</v>
      </c>
      <c r="N360" t="s">
        <v>1279</v>
      </c>
      <c r="O360" t="s">
        <v>1280</v>
      </c>
      <c r="Q360" t="s">
        <v>1281</v>
      </c>
      <c r="R360" t="s">
        <v>378</v>
      </c>
      <c r="S360" t="s">
        <v>94</v>
      </c>
      <c r="T360" t="s">
        <v>1282</v>
      </c>
      <c r="U360" t="s">
        <v>62</v>
      </c>
      <c r="V360">
        <v>2146913122</v>
      </c>
      <c r="W360" s="1">
        <v>190000</v>
      </c>
      <c r="X360">
        <v>2</v>
      </c>
      <c r="Y360">
        <v>2</v>
      </c>
      <c r="Z360">
        <v>2005</v>
      </c>
      <c r="AA360" t="s">
        <v>70</v>
      </c>
      <c r="AB360" t="s">
        <v>1283</v>
      </c>
      <c r="AC360" t="s">
        <v>231</v>
      </c>
      <c r="AD360" t="s">
        <v>119</v>
      </c>
      <c r="AE360">
        <v>1382</v>
      </c>
      <c r="AF360" t="s">
        <v>120</v>
      </c>
      <c r="AI360">
        <v>13820000</v>
      </c>
      <c r="AJ360" t="s">
        <v>119</v>
      </c>
      <c r="AM360">
        <v>213112</v>
      </c>
      <c r="AN360" t="s">
        <v>74</v>
      </c>
      <c r="AQ360" t="s">
        <v>75</v>
      </c>
      <c r="AT360" t="s">
        <v>76</v>
      </c>
      <c r="BF360">
        <v>0</v>
      </c>
      <c r="BG360">
        <v>0</v>
      </c>
      <c r="CK360" s="19">
        <f>IF(BQ360&gt;0,BQ360,W360)</f>
        <v>190000</v>
      </c>
      <c r="CL360" s="20">
        <f>IF(BS360&gt;0,BS360,Y360)</f>
        <v>2</v>
      </c>
      <c r="CM360" s="34">
        <f>IF(CG360&gt;0,CG360,AM360)</f>
        <v>213112</v>
      </c>
      <c r="CN360" s="80">
        <f>IF($BH360="",1,COUNTIF($BH$3:$BH360,$BH360))</f>
        <v>1</v>
      </c>
      <c r="CP360" t="str">
        <f>IF($K360="Standard Match","Match",IF($K360="Name Only Match",IF($CO360="Yes","Match","Name Only Match"),"No Match"))</f>
        <v>Match</v>
      </c>
      <c r="CQ360" s="35" t="str">
        <f>IF(AND(CP360="Match",CK360&gt;0,CL360&gt;0),"Y","N")</f>
        <v>Y</v>
      </c>
      <c r="CS360" t="str">
        <f>IF($CQ360="Y",VLOOKUP($CM360,'SBA Size Standards'!$B$3:$G$57,MATCH('SBA Size Standards'!$G$3,'SBA Size Standards'!$B$3:$G$3,0),FALSE),"")</f>
        <v>Revenue</v>
      </c>
      <c r="CT360" s="60">
        <f>IF(CQ360="Y",IF($CS360="Employment","N/A",VLOOKUP($CM360,'SBA Size Standards'!$B$3:$G$57,MATCH('SBA Size Standards'!$E$3,'SBA Size Standards'!$B$3:$G$3,0),FALSE)),"")</f>
        <v>41500000</v>
      </c>
      <c r="CU360" s="86" t="str">
        <f>IF($CQ360="Y",IF($CS360="Revenue","N/A",VLOOKUP($CM360,'SBA Size Standards'!$B$3:$G$57,MATCH('SBA Size Standards'!$F$3,'SBA Size Standards'!$B$3:$G$3,0),FALSE)),"")</f>
        <v>N/A</v>
      </c>
      <c r="CV360" t="str">
        <f>IF($CQ360="Y",IF(OR(AND($CS360="Employment",$CL360&lt;$CU360),AND($CS360="Revenue",$CK360&lt;$CT360)),"YES","NO"),"")</f>
        <v>YES</v>
      </c>
      <c r="CW360" s="90" t="str">
        <f>IF($CQ360="Y",INDEX('SBA Size Standards'!$N$3:$N$12,MATCH($CK360,'SBA Size Standards'!$O$3:$O$12,1)),"")</f>
        <v>$100,001 - $500,000</v>
      </c>
      <c r="CX360" s="122" t="s">
        <v>4844</v>
      </c>
      <c r="CY360" s="122">
        <f>INDEX('NM O&amp;G Production'!$P$3:$P$537,MATCH(CX360,'NM O&amp;G Production'!$Q$3:$Q$537,0))</f>
        <v>167</v>
      </c>
      <c r="CZ360" s="122" t="str">
        <f>INDEX('NM O&amp;G Production'!$O$3:$O$537,MATCH(CY360,'NM O&amp;G Production'!$P$3:$P$537,0))</f>
        <v>Yes</v>
      </c>
      <c r="DA360" s="127">
        <f>INDEX('NM O&amp;G Production'!$K$3:$O$537,MATCH($CY360,'NM O&amp;G Production'!$P$3:$P$537,0),MATCH(DA$2,'NM O&amp;G Production'!$K$2:$O$2,0))</f>
        <v>0</v>
      </c>
      <c r="DB360" s="127">
        <f>INDEX('NM O&amp;G Production'!$K$3:$O$537,MATCH($CY360,'NM O&amp;G Production'!$P$3:$P$537,0),MATCH(DB$2,'NM O&amp;G Production'!$K$2:$O$2,0))</f>
        <v>1</v>
      </c>
      <c r="DC360" s="127">
        <f>DA360+DB360</f>
        <v>1</v>
      </c>
      <c r="DD360" s="127">
        <f>INDEX('NM O&amp;G Production'!$K$3:$O$537,MATCH($CY360,'NM O&amp;G Production'!$P$3:$P$537,0),MATCH(DD$2,'NM O&amp;G Production'!$K$2:$O$2,0))</f>
        <v>0</v>
      </c>
      <c r="DE360" s="127">
        <f>INDEX('NM O&amp;G Production'!$K$3:$O$537,MATCH($CY360,'NM O&amp;G Production'!$P$3:$P$537,0),MATCH(DE$2,'NM O&amp;G Production'!$K$2:$O$2,0))</f>
        <v>334</v>
      </c>
      <c r="DF360" s="258">
        <f>CK360/(DB360+DA360)</f>
        <v>190000</v>
      </c>
      <c r="DG360" s="57">
        <f>DD360*(12/18)*1.06*'Oil and Gas Prices'!$C$18</f>
        <v>0</v>
      </c>
      <c r="DH360" s="284">
        <f>DE360*(12/18)*'Oil and Gas Prices'!$C$4</f>
        <v>10020</v>
      </c>
      <c r="DI360" s="284">
        <f>DG360+DH360</f>
        <v>10020</v>
      </c>
      <c r="DJ360" s="57">
        <f>(DG360+DH360)/(DA360+DB360)</f>
        <v>10020</v>
      </c>
      <c r="DK360" s="319"/>
    </row>
    <row r="361" spans="1:115" x14ac:dyDescent="0.25">
      <c r="A361" t="s">
        <v>269</v>
      </c>
      <c r="B361" t="s">
        <v>270</v>
      </c>
      <c r="D361" t="s">
        <v>153</v>
      </c>
      <c r="E361" t="s">
        <v>80</v>
      </c>
      <c r="F361">
        <v>79707</v>
      </c>
      <c r="G361" t="s">
        <v>62</v>
      </c>
      <c r="I361">
        <v>25</v>
      </c>
      <c r="J361" t="s">
        <v>63</v>
      </c>
      <c r="K361" t="s">
        <v>4133</v>
      </c>
      <c r="L361" t="s">
        <v>64</v>
      </c>
      <c r="M361">
        <v>10</v>
      </c>
      <c r="N361" t="s">
        <v>271</v>
      </c>
      <c r="O361" t="s">
        <v>272</v>
      </c>
      <c r="Q361" t="s">
        <v>273</v>
      </c>
      <c r="R361" t="s">
        <v>153</v>
      </c>
      <c r="S361" t="s">
        <v>94</v>
      </c>
      <c r="T361" t="s">
        <v>274</v>
      </c>
      <c r="U361" t="s">
        <v>62</v>
      </c>
      <c r="V361">
        <v>4324139289</v>
      </c>
      <c r="W361" s="1">
        <v>175007</v>
      </c>
      <c r="X361">
        <v>1</v>
      </c>
      <c r="Y361">
        <v>1</v>
      </c>
      <c r="Z361">
        <v>2014</v>
      </c>
      <c r="AA361" t="s">
        <v>70</v>
      </c>
      <c r="AB361" t="s">
        <v>275</v>
      </c>
      <c r="AC361" t="s">
        <v>145</v>
      </c>
      <c r="AD361" t="s">
        <v>99</v>
      </c>
      <c r="AE361">
        <v>1311</v>
      </c>
      <c r="AF361" t="s">
        <v>100</v>
      </c>
      <c r="AI361">
        <v>13110000</v>
      </c>
      <c r="AJ361" t="s">
        <v>276</v>
      </c>
      <c r="AM361">
        <v>211120</v>
      </c>
      <c r="AN361" t="s">
        <v>104</v>
      </c>
      <c r="AQ361" t="s">
        <v>75</v>
      </c>
      <c r="AT361" t="s">
        <v>76</v>
      </c>
      <c r="BF361">
        <v>0</v>
      </c>
      <c r="BG361">
        <v>0</v>
      </c>
      <c r="CK361" s="19">
        <f>IF(BQ361&gt;0,BQ361,W361)</f>
        <v>175007</v>
      </c>
      <c r="CL361" s="20">
        <f>IF(BS361&gt;0,BS361,Y361)</f>
        <v>1</v>
      </c>
      <c r="CM361" s="34">
        <f>IF(CG361&gt;0,CG361,AM361)</f>
        <v>211120</v>
      </c>
      <c r="CN361" s="80">
        <f>IF($BH361="",1,COUNTIF($BH$3:$BH361,$BH361))</f>
        <v>1</v>
      </c>
      <c r="CP361" t="str">
        <f>IF($K361="Standard Match","Match",IF($K361="Name Only Match",IF($CO361="Yes","Match","Name Only Match"),"No Match"))</f>
        <v>Match</v>
      </c>
      <c r="CQ361" s="35" t="str">
        <f>IF(AND(CP361="Match",CK361&gt;0,CL361&gt;0),"Y","N")</f>
        <v>Y</v>
      </c>
      <c r="CS361" t="str">
        <f>IF($CQ361="Y",VLOOKUP($CM361,'SBA Size Standards'!$B$3:$G$57,MATCH('SBA Size Standards'!$G$3,'SBA Size Standards'!$B$3:$G$3,0),FALSE),"")</f>
        <v>Employment</v>
      </c>
      <c r="CT361" s="60" t="str">
        <f>IF(CQ361="Y",IF($CS361="Employment","N/A",VLOOKUP($CM361,'SBA Size Standards'!$B$3:$G$57,MATCH('SBA Size Standards'!$E$3,'SBA Size Standards'!$B$3:$G$3,0),FALSE)),"")</f>
        <v>N/A</v>
      </c>
      <c r="CU361" s="86">
        <f>IF($CQ361="Y",IF($CS361="Revenue","N/A",VLOOKUP($CM361,'SBA Size Standards'!$B$3:$G$57,MATCH('SBA Size Standards'!$F$3,'SBA Size Standards'!$B$3:$G$3,0),FALSE)),"")</f>
        <v>1250</v>
      </c>
      <c r="CV361" t="str">
        <f>IF($CQ361="Y",IF(OR(AND($CS361="Employment",$CL361&lt;$CU361),AND($CS361="Revenue",$CK361&lt;$CT361)),"YES","NO"),"")</f>
        <v>YES</v>
      </c>
      <c r="CW361" s="90" t="str">
        <f>IF($CQ361="Y",INDEX('SBA Size Standards'!$N$3:$N$12,MATCH($CK361,'SBA Size Standards'!$O$3:$O$12,1)),"")</f>
        <v>$100,001 - $500,000</v>
      </c>
      <c r="CX361" s="122" t="s">
        <v>4544</v>
      </c>
      <c r="CY361" s="122">
        <f>INDEX('NM O&amp;G Production'!$P$3:$P$537,MATCH(CX361,'NM O&amp;G Production'!$Q$3:$Q$537,0))</f>
        <v>25</v>
      </c>
      <c r="CZ361" s="122" t="str">
        <f>INDEX('NM O&amp;G Production'!$O$3:$O$537,MATCH(CY361,'NM O&amp;G Production'!$P$3:$P$537,0))</f>
        <v>Yes</v>
      </c>
      <c r="DA361" s="127">
        <f>INDEX('NM O&amp;G Production'!$K$3:$O$537,MATCH($CY361,'NM O&amp;G Production'!$P$3:$P$537,0),MATCH(DA$2,'NM O&amp;G Production'!$K$2:$O$2,0))</f>
        <v>1</v>
      </c>
      <c r="DB361" s="127">
        <f>INDEX('NM O&amp;G Production'!$K$3:$O$537,MATCH($CY361,'NM O&amp;G Production'!$P$3:$P$537,0),MATCH(DB$2,'NM O&amp;G Production'!$K$2:$O$2,0))</f>
        <v>0</v>
      </c>
      <c r="DC361" s="127">
        <f>DA361+DB361</f>
        <v>1</v>
      </c>
      <c r="DD361" s="127">
        <f>INDEX('NM O&amp;G Production'!$K$3:$O$537,MATCH($CY361,'NM O&amp;G Production'!$P$3:$P$537,0),MATCH(DD$2,'NM O&amp;G Production'!$K$2:$O$2,0))</f>
        <v>97</v>
      </c>
      <c r="DE361" s="127">
        <f>INDEX('NM O&amp;G Production'!$K$3:$O$537,MATCH($CY361,'NM O&amp;G Production'!$P$3:$P$537,0),MATCH(DE$2,'NM O&amp;G Production'!$K$2:$O$2,0))</f>
        <v>6289</v>
      </c>
      <c r="DF361" s="258">
        <f>CK361/(DB361+DA361)</f>
        <v>175007</v>
      </c>
      <c r="DG361" s="57">
        <f>DD361*(12/18)*1.06*'Oil and Gas Prices'!$C$18</f>
        <v>163.82653333333334</v>
      </c>
      <c r="DH361" s="284">
        <f>DE361*(12/18)*'Oil and Gas Prices'!$C$4</f>
        <v>188669.99999999997</v>
      </c>
      <c r="DI361" s="284">
        <f>DG361+DH361</f>
        <v>188833.82653333331</v>
      </c>
      <c r="DJ361" s="57">
        <f>(DG361+DH361)/(DA361+DB361)</f>
        <v>188833.82653333331</v>
      </c>
      <c r="DK361" s="319"/>
    </row>
    <row r="362" spans="1:115" x14ac:dyDescent="0.25">
      <c r="A362" t="s">
        <v>2494</v>
      </c>
      <c r="B362" t="s">
        <v>2495</v>
      </c>
      <c r="D362" t="s">
        <v>123</v>
      </c>
      <c r="E362" t="s">
        <v>84</v>
      </c>
      <c r="F362">
        <v>87401</v>
      </c>
      <c r="G362" t="s">
        <v>62</v>
      </c>
      <c r="I362">
        <v>357</v>
      </c>
      <c r="J362" t="s">
        <v>63</v>
      </c>
      <c r="K362" t="s">
        <v>4134</v>
      </c>
      <c r="L362" t="s">
        <v>3627</v>
      </c>
      <c r="M362">
        <v>8</v>
      </c>
      <c r="N362" t="s">
        <v>3690</v>
      </c>
      <c r="O362" t="s">
        <v>3691</v>
      </c>
      <c r="P362" t="s">
        <v>3692</v>
      </c>
      <c r="Q362" t="s">
        <v>3693</v>
      </c>
      <c r="R362" t="s">
        <v>183</v>
      </c>
      <c r="S362" t="s">
        <v>188</v>
      </c>
      <c r="T362">
        <v>74146</v>
      </c>
      <c r="U362" t="s">
        <v>62</v>
      </c>
      <c r="V362">
        <v>9186100866</v>
      </c>
      <c r="W362" s="1">
        <v>172291</v>
      </c>
      <c r="X362">
        <v>2</v>
      </c>
      <c r="Y362">
        <v>2</v>
      </c>
      <c r="Z362">
        <v>1997</v>
      </c>
      <c r="AA362" t="s">
        <v>70</v>
      </c>
      <c r="AB362" t="s">
        <v>3694</v>
      </c>
      <c r="AC362" t="s">
        <v>483</v>
      </c>
      <c r="AD362" t="s">
        <v>253</v>
      </c>
      <c r="AE362">
        <v>5541</v>
      </c>
      <c r="AF362" t="s">
        <v>254</v>
      </c>
      <c r="AI362">
        <v>55419901</v>
      </c>
      <c r="AJ362" t="s">
        <v>255</v>
      </c>
      <c r="AM362">
        <v>447190</v>
      </c>
      <c r="AN362" t="s">
        <v>256</v>
      </c>
      <c r="AQ362" t="s">
        <v>75</v>
      </c>
      <c r="AT362" t="s">
        <v>76</v>
      </c>
      <c r="BF362">
        <v>0</v>
      </c>
      <c r="BG362">
        <v>0</v>
      </c>
      <c r="CK362" s="19">
        <f>IF(BQ362&gt;0,BQ362,W362)</f>
        <v>172291</v>
      </c>
      <c r="CL362" s="20">
        <f>IF(BS362&gt;0,BS362,Y362)</f>
        <v>2</v>
      </c>
      <c r="CM362" s="34">
        <f>IF(CG362&gt;0,CG362,AM362)</f>
        <v>447190</v>
      </c>
      <c r="CN362" s="80">
        <f>IF($BH362="",1,COUNTIF($BH$3:$BH362,$BH362))</f>
        <v>1</v>
      </c>
      <c r="CO362" s="33" t="s">
        <v>4386</v>
      </c>
      <c r="CP362" t="str">
        <f>IF($K362="Standard Match","Match",IF($K362="Name Only Match",IF($CO362="Yes","Match","Name Only Match"),"No Match"))</f>
        <v>Match</v>
      </c>
      <c r="CQ362" s="35" t="str">
        <f>IF(AND(CP362="Match",CK362&gt;0,CL362&gt;0),"Y","N")</f>
        <v>Y</v>
      </c>
      <c r="CS362" t="str">
        <f>IF($CQ362="Y",VLOOKUP($CM362,'SBA Size Standards'!$B$3:$G$57,MATCH('SBA Size Standards'!$G$3,'SBA Size Standards'!$B$3:$G$3,0),FALSE),"")</f>
        <v>Revenue</v>
      </c>
      <c r="CT362" s="60">
        <f>IF(CQ362="Y",IF($CS362="Employment","N/A",VLOOKUP($CM362,'SBA Size Standards'!$B$3:$G$57,MATCH('SBA Size Standards'!$E$3,'SBA Size Standards'!$B$3:$G$3,0),FALSE)),"")</f>
        <v>16500000</v>
      </c>
      <c r="CU362" s="86" t="str">
        <f>IF($CQ362="Y",IF($CS362="Revenue","N/A",VLOOKUP($CM362,'SBA Size Standards'!$B$3:$G$57,MATCH('SBA Size Standards'!$F$3,'SBA Size Standards'!$B$3:$G$3,0),FALSE)),"")</f>
        <v>N/A</v>
      </c>
      <c r="CV362" t="str">
        <f>IF($CQ362="Y",IF(OR(AND($CS362="Employment",$CL362&lt;$CU362),AND($CS362="Revenue",$CK362&lt;$CT362)),"YES","NO"),"")</f>
        <v>YES</v>
      </c>
      <c r="CW362" s="90" t="str">
        <f>IF($CQ362="Y",INDEX('SBA Size Standards'!$N$3:$N$12,MATCH($CK362,'SBA Size Standards'!$O$3:$O$12,1)),"")</f>
        <v>$100,001 - $500,000</v>
      </c>
      <c r="CX362" s="122" t="s">
        <v>4984</v>
      </c>
      <c r="CY362" s="122">
        <f>INDEX('NM O&amp;G Production'!$P$3:$P$537,MATCH(CX362,'NM O&amp;G Production'!$Q$3:$Q$537,0))</f>
        <v>357</v>
      </c>
      <c r="CZ362" s="122" t="str">
        <f>INDEX('NM O&amp;G Production'!$O$3:$O$537,MATCH(CY362,'NM O&amp;G Production'!$P$3:$P$537,0))</f>
        <v>No</v>
      </c>
      <c r="DA362" s="127">
        <f>INDEX('NM O&amp;G Production'!$K$3:$O$537,MATCH($CY362,'NM O&amp;G Production'!$P$3:$P$537,0),MATCH(DA$2,'NM O&amp;G Production'!$K$2:$O$2,0))</f>
        <v>0</v>
      </c>
      <c r="DB362" s="127">
        <f>INDEX('NM O&amp;G Production'!$K$3:$O$537,MATCH($CY362,'NM O&amp;G Production'!$P$3:$P$537,0),MATCH(DB$2,'NM O&amp;G Production'!$K$2:$O$2,0))</f>
        <v>0</v>
      </c>
      <c r="DC362" s="127"/>
      <c r="DD362" s="127">
        <f>INDEX('NM O&amp;G Production'!$K$3:$O$537,MATCH($CY362,'NM O&amp;G Production'!$P$3:$P$537,0),MATCH(DD$2,'NM O&amp;G Production'!$K$2:$O$2,0))</f>
        <v>0</v>
      </c>
      <c r="DE362" s="127">
        <f>INDEX('NM O&amp;G Production'!$K$3:$O$537,MATCH($CY362,'NM O&amp;G Production'!$P$3:$P$537,0),MATCH(DE$2,'NM O&amp;G Production'!$K$2:$O$2,0))</f>
        <v>0</v>
      </c>
      <c r="DF362" s="258" t="e">
        <f>CK362/(DB362+DA362)</f>
        <v>#DIV/0!</v>
      </c>
      <c r="DG362" s="57">
        <f>DD362*(12/18)*1.06*'Oil and Gas Prices'!$C$18</f>
        <v>0</v>
      </c>
      <c r="DH362" s="284">
        <f>DE362*(12/18)*'Oil and Gas Prices'!$C$4</f>
        <v>0</v>
      </c>
      <c r="DI362" s="284"/>
      <c r="DJ362" s="57" t="e">
        <f>(DG362+DH362)/(DA362+DB362)</f>
        <v>#DIV/0!</v>
      </c>
      <c r="DK362" s="18" t="e">
        <f>CK362/DI362</f>
        <v>#DIV/0!</v>
      </c>
    </row>
    <row r="363" spans="1:115" x14ac:dyDescent="0.25">
      <c r="A363" t="s">
        <v>1970</v>
      </c>
      <c r="B363" t="s">
        <v>1971</v>
      </c>
      <c r="D363" t="s">
        <v>123</v>
      </c>
      <c r="E363" t="s">
        <v>84</v>
      </c>
      <c r="F363">
        <v>87499</v>
      </c>
      <c r="G363" t="s">
        <v>62</v>
      </c>
      <c r="I363">
        <v>275</v>
      </c>
      <c r="J363" t="s">
        <v>89</v>
      </c>
      <c r="K363" t="s">
        <v>4133</v>
      </c>
      <c r="L363" t="s">
        <v>149</v>
      </c>
      <c r="M363">
        <v>10</v>
      </c>
      <c r="N363" t="s">
        <v>1972</v>
      </c>
      <c r="O363" t="s">
        <v>1973</v>
      </c>
      <c r="Q363" t="s">
        <v>1974</v>
      </c>
      <c r="R363" t="s">
        <v>123</v>
      </c>
      <c r="S363" t="s">
        <v>214</v>
      </c>
      <c r="T363" t="s">
        <v>1975</v>
      </c>
      <c r="U363" t="s">
        <v>62</v>
      </c>
      <c r="V363">
        <v>5053256779</v>
      </c>
      <c r="W363" s="1">
        <v>172020</v>
      </c>
      <c r="X363">
        <v>2</v>
      </c>
      <c r="Y363">
        <v>2</v>
      </c>
      <c r="Z363">
        <v>1954</v>
      </c>
      <c r="AA363" t="s">
        <v>70</v>
      </c>
      <c r="AB363" t="s">
        <v>1976</v>
      </c>
      <c r="AC363" t="s">
        <v>98</v>
      </c>
      <c r="AD363" t="s">
        <v>1977</v>
      </c>
      <c r="AE363">
        <v>3731</v>
      </c>
      <c r="AF363" t="s">
        <v>1978</v>
      </c>
      <c r="AI363">
        <v>37319902</v>
      </c>
      <c r="AJ363" t="s">
        <v>1979</v>
      </c>
      <c r="AM363">
        <v>336611</v>
      </c>
      <c r="AN363" t="s">
        <v>1980</v>
      </c>
      <c r="AQ363" t="s">
        <v>75</v>
      </c>
      <c r="AT363" t="s">
        <v>76</v>
      </c>
      <c r="BF363">
        <v>0</v>
      </c>
      <c r="BG363">
        <v>0</v>
      </c>
      <c r="CK363" s="19">
        <f>IF(BQ363&gt;0,BQ363,W363)</f>
        <v>172020</v>
      </c>
      <c r="CL363" s="20">
        <f>IF(BS363&gt;0,BS363,Y363)</f>
        <v>2</v>
      </c>
      <c r="CM363" s="34">
        <f>IF(CG363&gt;0,CG363,AM363)</f>
        <v>336611</v>
      </c>
      <c r="CN363" s="80">
        <f>IF($BH363="",1,COUNTIF($BH$3:$BH363,$BH363))</f>
        <v>1</v>
      </c>
      <c r="CP363" t="str">
        <f>IF($K363="Standard Match","Match",IF($K363="Name Only Match",IF($CO363="Yes","Match","Name Only Match"),"No Match"))</f>
        <v>Match</v>
      </c>
      <c r="CQ363" s="35" t="str">
        <f>IF(AND(CP363="Match",CK363&gt;0,CL363&gt;0),"Y","N")</f>
        <v>Y</v>
      </c>
      <c r="CS363" t="str">
        <f>IF($CQ363="Y",VLOOKUP($CM363,'SBA Size Standards'!$B$3:$G$57,MATCH('SBA Size Standards'!$G$3,'SBA Size Standards'!$B$3:$G$3,0),FALSE),"")</f>
        <v>Employment</v>
      </c>
      <c r="CT363" s="60" t="str">
        <f>IF(CQ363="Y",IF($CS363="Employment","N/A",VLOOKUP($CM363,'SBA Size Standards'!$B$3:$G$57,MATCH('SBA Size Standards'!$E$3,'SBA Size Standards'!$B$3:$G$3,0),FALSE)),"")</f>
        <v>N/A</v>
      </c>
      <c r="CU363" s="86">
        <f>IF($CQ363="Y",IF($CS363="Revenue","N/A",VLOOKUP($CM363,'SBA Size Standards'!$B$3:$G$57,MATCH('SBA Size Standards'!$F$3,'SBA Size Standards'!$B$3:$G$3,0),FALSE)),"")</f>
        <v>1250</v>
      </c>
      <c r="CV363" t="str">
        <f>IF($CQ363="Y",IF(OR(AND($CS363="Employment",$CL363&lt;$CU363),AND($CS363="Revenue",$CK363&lt;$CT363)),"YES","NO"),"")</f>
        <v>YES</v>
      </c>
      <c r="CW363" s="90" t="str">
        <f>IF($CQ363="Y",INDEX('SBA Size Standards'!$N$3:$N$12,MATCH($CK363,'SBA Size Standards'!$O$3:$O$12,1)),"")</f>
        <v>$100,001 - $500,000</v>
      </c>
      <c r="CX363" s="122" t="s">
        <v>4664</v>
      </c>
      <c r="CY363" s="122">
        <f>INDEX('NM O&amp;G Production'!$P$3:$P$537,MATCH(CX363,'NM O&amp;G Production'!$Q$3:$Q$537,0))</f>
        <v>275</v>
      </c>
      <c r="CZ363" s="122" t="str">
        <f>INDEX('NM O&amp;G Production'!$O$3:$O$537,MATCH(CY363,'NM O&amp;G Production'!$P$3:$P$537,0))</f>
        <v>Yes</v>
      </c>
      <c r="DA363" s="127">
        <f>INDEX('NM O&amp;G Production'!$K$3:$O$537,MATCH($CY363,'NM O&amp;G Production'!$P$3:$P$537,0),MATCH(DA$2,'NM O&amp;G Production'!$K$2:$O$2,0))</f>
        <v>16</v>
      </c>
      <c r="DB363" s="127">
        <f>INDEX('NM O&amp;G Production'!$K$3:$O$537,MATCH($CY363,'NM O&amp;G Production'!$P$3:$P$537,0),MATCH(DB$2,'NM O&amp;G Production'!$K$2:$O$2,0))</f>
        <v>59</v>
      </c>
      <c r="DC363" s="127">
        <f>DA363+DB363</f>
        <v>75</v>
      </c>
      <c r="DD363" s="127">
        <f>INDEX('NM O&amp;G Production'!$K$3:$O$537,MATCH($CY363,'NM O&amp;G Production'!$P$3:$P$537,0),MATCH(DD$2,'NM O&amp;G Production'!$K$2:$O$2,0))</f>
        <v>1419603</v>
      </c>
      <c r="DE363" s="127">
        <f>INDEX('NM O&amp;G Production'!$K$3:$O$537,MATCH($CY363,'NM O&amp;G Production'!$P$3:$P$537,0),MATCH(DE$2,'NM O&amp;G Production'!$K$2:$O$2,0))</f>
        <v>1374</v>
      </c>
      <c r="DF363" s="258">
        <f>CK363/(DB363+DA363)</f>
        <v>2293.6</v>
      </c>
      <c r="DG363" s="57">
        <f>DD363*(12/18)*1.06*'Oil and Gas Prices'!$C$18</f>
        <v>2397614.8267999999</v>
      </c>
      <c r="DH363" s="284">
        <f>DE363*(12/18)*'Oil and Gas Prices'!$C$4</f>
        <v>41220</v>
      </c>
      <c r="DI363" s="284">
        <f>DG363+DH363</f>
        <v>2438834.8267999999</v>
      </c>
      <c r="DJ363" s="57">
        <f>(DG363+DH363)/(DA363+DB363)</f>
        <v>32517.797690666666</v>
      </c>
      <c r="DK363" s="318"/>
    </row>
    <row r="364" spans="1:115" x14ac:dyDescent="0.25">
      <c r="A364" t="s">
        <v>3462</v>
      </c>
      <c r="B364" t="s">
        <v>3463</v>
      </c>
      <c r="D364" t="s">
        <v>418</v>
      </c>
      <c r="E364" t="s">
        <v>80</v>
      </c>
      <c r="F364">
        <v>76301</v>
      </c>
      <c r="G364" t="s">
        <v>62</v>
      </c>
      <c r="I364">
        <v>510</v>
      </c>
      <c r="J364" t="s">
        <v>63</v>
      </c>
      <c r="K364" t="s">
        <v>4133</v>
      </c>
      <c r="L364" t="s">
        <v>113</v>
      </c>
      <c r="M364">
        <v>8</v>
      </c>
      <c r="N364" t="s">
        <v>3464</v>
      </c>
      <c r="O364" t="s">
        <v>3465</v>
      </c>
      <c r="Q364" t="s">
        <v>3466</v>
      </c>
      <c r="R364" t="s">
        <v>418</v>
      </c>
      <c r="S364" t="s">
        <v>94</v>
      </c>
      <c r="T364" t="s">
        <v>3467</v>
      </c>
      <c r="U364" t="s">
        <v>62</v>
      </c>
      <c r="V364">
        <v>9403221124</v>
      </c>
      <c r="W364" s="1">
        <v>165547</v>
      </c>
      <c r="X364">
        <v>3</v>
      </c>
      <c r="Y364">
        <v>3</v>
      </c>
      <c r="Z364">
        <v>1962</v>
      </c>
      <c r="AA364" t="s">
        <v>70</v>
      </c>
      <c r="AB364" t="s">
        <v>3468</v>
      </c>
      <c r="AC364" t="s">
        <v>242</v>
      </c>
      <c r="AD364" t="s">
        <v>99</v>
      </c>
      <c r="AE364">
        <v>1311</v>
      </c>
      <c r="AF364" t="s">
        <v>100</v>
      </c>
      <c r="AI364">
        <v>13110101</v>
      </c>
      <c r="AJ364" t="s">
        <v>102</v>
      </c>
      <c r="AM364">
        <v>211120</v>
      </c>
      <c r="AN364" t="s">
        <v>104</v>
      </c>
      <c r="AQ364" t="s">
        <v>75</v>
      </c>
      <c r="AT364" t="s">
        <v>76</v>
      </c>
      <c r="BF364">
        <v>0</v>
      </c>
      <c r="BG364">
        <v>0</v>
      </c>
      <c r="CK364" s="19">
        <f>IF(BQ364&gt;0,BQ364,W364)</f>
        <v>165547</v>
      </c>
      <c r="CL364" s="20">
        <f>IF(BS364&gt;0,BS364,Y364)</f>
        <v>3</v>
      </c>
      <c r="CM364" s="34">
        <f>IF(CG364&gt;0,CG364,AM364)</f>
        <v>211120</v>
      </c>
      <c r="CN364" s="80">
        <f>IF($BH364="",1,COUNTIF($BH$3:$BH364,$BH364))</f>
        <v>1</v>
      </c>
      <c r="CP364" t="str">
        <f>IF($K364="Standard Match","Match",IF($K364="Name Only Match",IF($CO364="Yes","Match","Name Only Match"),"No Match"))</f>
        <v>Match</v>
      </c>
      <c r="CQ364" s="35" t="str">
        <f>IF(AND(CP364="Match",CK364&gt;0,CL364&gt;0),"Y","N")</f>
        <v>Y</v>
      </c>
      <c r="CS364" t="str">
        <f>IF($CQ364="Y",VLOOKUP($CM364,'SBA Size Standards'!$B$3:$G$57,MATCH('SBA Size Standards'!$G$3,'SBA Size Standards'!$B$3:$G$3,0),FALSE),"")</f>
        <v>Employment</v>
      </c>
      <c r="CT364" s="60" t="str">
        <f>IF(CQ364="Y",IF($CS364="Employment","N/A",VLOOKUP($CM364,'SBA Size Standards'!$B$3:$G$57,MATCH('SBA Size Standards'!$E$3,'SBA Size Standards'!$B$3:$G$3,0),FALSE)),"")</f>
        <v>N/A</v>
      </c>
      <c r="CU364" s="86">
        <f>IF($CQ364="Y",IF($CS364="Revenue","N/A",VLOOKUP($CM364,'SBA Size Standards'!$B$3:$G$57,MATCH('SBA Size Standards'!$F$3,'SBA Size Standards'!$B$3:$G$3,0),FALSE)),"")</f>
        <v>1250</v>
      </c>
      <c r="CV364" t="str">
        <f>IF($CQ364="Y",IF(OR(AND($CS364="Employment",$CL364&lt;$CU364),AND($CS364="Revenue",$CK364&lt;$CT364)),"YES","NO"),"")</f>
        <v>YES</v>
      </c>
      <c r="CW364" s="90" t="str">
        <f>IF($CQ364="Y",INDEX('SBA Size Standards'!$N$3:$N$12,MATCH($CK364,'SBA Size Standards'!$O$3:$O$12,1)),"")</f>
        <v>$100,001 - $500,000</v>
      </c>
      <c r="CX364" s="122" t="s">
        <v>4921</v>
      </c>
      <c r="CY364" s="122">
        <f>INDEX('NM O&amp;G Production'!$P$3:$P$537,MATCH(CX364,'NM O&amp;G Production'!$Q$3:$Q$537,0))</f>
        <v>510</v>
      </c>
      <c r="CZ364" s="122" t="str">
        <f>INDEX('NM O&amp;G Production'!$O$3:$O$537,MATCH(CY364,'NM O&amp;G Production'!$P$3:$P$537,0))</f>
        <v>Yes</v>
      </c>
      <c r="DA364" s="127">
        <f>INDEX('NM O&amp;G Production'!$K$3:$O$537,MATCH($CY364,'NM O&amp;G Production'!$P$3:$P$537,0),MATCH(DA$2,'NM O&amp;G Production'!$K$2:$O$2,0))</f>
        <v>1</v>
      </c>
      <c r="DB364" s="127">
        <f>INDEX('NM O&amp;G Production'!$K$3:$O$537,MATCH($CY364,'NM O&amp;G Production'!$P$3:$P$537,0),MATCH(DB$2,'NM O&amp;G Production'!$K$2:$O$2,0))</f>
        <v>1</v>
      </c>
      <c r="DC364" s="127">
        <f>DA364+DB364</f>
        <v>2</v>
      </c>
      <c r="DD364" s="127">
        <f>INDEX('NM O&amp;G Production'!$K$3:$O$537,MATCH($CY364,'NM O&amp;G Production'!$P$3:$P$537,0),MATCH(DD$2,'NM O&amp;G Production'!$K$2:$O$2,0))</f>
        <v>3239</v>
      </c>
      <c r="DE364" s="127">
        <f>INDEX('NM O&amp;G Production'!$K$3:$O$537,MATCH($CY364,'NM O&amp;G Production'!$P$3:$P$537,0),MATCH(DE$2,'NM O&amp;G Production'!$K$2:$O$2,0))</f>
        <v>230</v>
      </c>
      <c r="DF364" s="258">
        <f>CK364/(DB364+DA364)</f>
        <v>82773.5</v>
      </c>
      <c r="DG364" s="57">
        <f>DD364*(12/18)*1.06*'Oil and Gas Prices'!$C$18</f>
        <v>5470.4550666666664</v>
      </c>
      <c r="DH364" s="284">
        <f>DE364*(12/18)*'Oil and Gas Prices'!$C$4</f>
        <v>6899.9999999999991</v>
      </c>
      <c r="DI364" s="284">
        <f>DG364+DH364</f>
        <v>12370.455066666666</v>
      </c>
      <c r="DJ364" s="57">
        <f>(DG364+DH364)/(DA364+DB364)</f>
        <v>6185.2275333333328</v>
      </c>
      <c r="DK364" s="319"/>
    </row>
    <row r="365" spans="1:115" x14ac:dyDescent="0.25">
      <c r="A365" t="s">
        <v>223</v>
      </c>
      <c r="B365" t="s">
        <v>224</v>
      </c>
      <c r="D365" t="s">
        <v>183</v>
      </c>
      <c r="E365" t="s">
        <v>184</v>
      </c>
      <c r="F365">
        <v>74133</v>
      </c>
      <c r="G365" t="s">
        <v>62</v>
      </c>
      <c r="I365">
        <v>21</v>
      </c>
      <c r="J365" t="s">
        <v>89</v>
      </c>
      <c r="K365" t="s">
        <v>4133</v>
      </c>
      <c r="L365" t="s">
        <v>225</v>
      </c>
      <c r="M365">
        <v>8</v>
      </c>
      <c r="N365" t="s">
        <v>226</v>
      </c>
      <c r="O365" t="s">
        <v>227</v>
      </c>
      <c r="Q365" t="s">
        <v>228</v>
      </c>
      <c r="R365" t="s">
        <v>183</v>
      </c>
      <c r="S365" t="s">
        <v>188</v>
      </c>
      <c r="T365" t="s">
        <v>229</v>
      </c>
      <c r="U365" t="s">
        <v>62</v>
      </c>
      <c r="V365">
        <v>9185082134</v>
      </c>
      <c r="W365" s="1">
        <v>165118</v>
      </c>
      <c r="X365">
        <v>3</v>
      </c>
      <c r="Y365">
        <v>3</v>
      </c>
      <c r="Z365">
        <v>2014</v>
      </c>
      <c r="AA365" t="s">
        <v>70</v>
      </c>
      <c r="AB365" t="s">
        <v>230</v>
      </c>
      <c r="AC365" t="s">
        <v>231</v>
      </c>
      <c r="AD365" t="s">
        <v>232</v>
      </c>
      <c r="AE365">
        <v>6512</v>
      </c>
      <c r="AF365" t="s">
        <v>233</v>
      </c>
      <c r="AI365">
        <v>65120000</v>
      </c>
      <c r="AJ365" t="s">
        <v>232</v>
      </c>
      <c r="AM365">
        <v>531312</v>
      </c>
      <c r="AN365" t="s">
        <v>234</v>
      </c>
      <c r="AQ365" t="s">
        <v>75</v>
      </c>
      <c r="AT365" t="s">
        <v>76</v>
      </c>
      <c r="BF365">
        <v>0</v>
      </c>
      <c r="BG365">
        <v>0</v>
      </c>
      <c r="CK365" s="19">
        <f>IF(BQ365&gt;0,BQ365,W365)</f>
        <v>165118</v>
      </c>
      <c r="CL365" s="20">
        <f>IF(BS365&gt;0,BS365,Y365)</f>
        <v>3</v>
      </c>
      <c r="CM365" s="34">
        <f>IF(CG365&gt;0,CG365,AM365)</f>
        <v>531312</v>
      </c>
      <c r="CN365" s="80">
        <f>IF($BH365="",1,COUNTIF($BH$3:$BH365,$BH365))</f>
        <v>1</v>
      </c>
      <c r="CP365" t="str">
        <f>IF($K365="Standard Match","Match",IF($K365="Name Only Match",IF($CO365="Yes","Match","Name Only Match"),"No Match"))</f>
        <v>Match</v>
      </c>
      <c r="CQ365" s="35" t="str">
        <f>IF(AND(CP365="Match",CK365&gt;0,CL365&gt;0),"Y","N")</f>
        <v>Y</v>
      </c>
      <c r="CS365" t="str">
        <f>IF($CQ365="Y",VLOOKUP($CM365,'SBA Size Standards'!$B$3:$G$57,MATCH('SBA Size Standards'!$G$3,'SBA Size Standards'!$B$3:$G$3,0),FALSE),"")</f>
        <v>Revenue</v>
      </c>
      <c r="CT365" s="60">
        <f>IF(CQ365="Y",IF($CS365="Employment","N/A",VLOOKUP($CM365,'SBA Size Standards'!$B$3:$G$57,MATCH('SBA Size Standards'!$E$3,'SBA Size Standards'!$B$3:$G$3,0),FALSE)),"")</f>
        <v>8000000</v>
      </c>
      <c r="CU365" s="86" t="str">
        <f>IF($CQ365="Y",IF($CS365="Revenue","N/A",VLOOKUP($CM365,'SBA Size Standards'!$B$3:$G$57,MATCH('SBA Size Standards'!$F$3,'SBA Size Standards'!$B$3:$G$3,0),FALSE)),"")</f>
        <v>N/A</v>
      </c>
      <c r="CV365" t="str">
        <f>IF($CQ365="Y",IF(OR(AND($CS365="Employment",$CL365&lt;$CU365),AND($CS365="Revenue",$CK365&lt;$CT365)),"YES","NO"),"")</f>
        <v>YES</v>
      </c>
      <c r="CW365" s="90" t="str">
        <f>IF($CQ365="Y",INDEX('SBA Size Standards'!$N$3:$N$12,MATCH($CK365,'SBA Size Standards'!$O$3:$O$12,1)),"")</f>
        <v>$100,001 - $500,000</v>
      </c>
      <c r="CX365" s="122" t="s">
        <v>4803</v>
      </c>
      <c r="CY365" s="122">
        <f>INDEX('NM O&amp;G Production'!$P$3:$P$537,MATCH(CX365,'NM O&amp;G Production'!$Q$3:$Q$537,0))</f>
        <v>21</v>
      </c>
      <c r="CZ365" s="122" t="str">
        <f>INDEX('NM O&amp;G Production'!$O$3:$O$537,MATCH(CY365,'NM O&amp;G Production'!$P$3:$P$537,0))</f>
        <v>Yes</v>
      </c>
      <c r="DA365" s="127">
        <f>INDEX('NM O&amp;G Production'!$K$3:$O$537,MATCH($CY365,'NM O&amp;G Production'!$P$3:$P$537,0),MATCH(DA$2,'NM O&amp;G Production'!$K$2:$O$2,0))</f>
        <v>1</v>
      </c>
      <c r="DB365" s="127">
        <f>INDEX('NM O&amp;G Production'!$K$3:$O$537,MATCH($CY365,'NM O&amp;G Production'!$P$3:$P$537,0),MATCH(DB$2,'NM O&amp;G Production'!$K$2:$O$2,0))</f>
        <v>0</v>
      </c>
      <c r="DC365" s="127">
        <f>DA365+DB365</f>
        <v>1</v>
      </c>
      <c r="DD365" s="127">
        <f>INDEX('NM O&amp;G Production'!$K$3:$O$537,MATCH($CY365,'NM O&amp;G Production'!$P$3:$P$537,0),MATCH(DD$2,'NM O&amp;G Production'!$K$2:$O$2,0))</f>
        <v>2596</v>
      </c>
      <c r="DE365" s="127">
        <f>INDEX('NM O&amp;G Production'!$K$3:$O$537,MATCH($CY365,'NM O&amp;G Production'!$P$3:$P$537,0),MATCH(DE$2,'NM O&amp;G Production'!$K$2:$O$2,0))</f>
        <v>0</v>
      </c>
      <c r="DF365" s="258">
        <f>CK365/(DB365+DA365)</f>
        <v>165118</v>
      </c>
      <c r="DG365" s="57">
        <f>DD365*(12/18)*1.06*'Oil and Gas Prices'!$C$18</f>
        <v>4384.470933333334</v>
      </c>
      <c r="DH365" s="284">
        <f>DE365*(12/18)*'Oil and Gas Prices'!$C$4</f>
        <v>0</v>
      </c>
      <c r="DI365" s="284">
        <f>DG365+DH365</f>
        <v>4384.470933333334</v>
      </c>
      <c r="DJ365" s="57">
        <f>(DG365+DH365)/(DA365+DB365)</f>
        <v>4384.470933333334</v>
      </c>
      <c r="DK365" s="319"/>
    </row>
    <row r="366" spans="1:115" x14ac:dyDescent="0.25">
      <c r="A366" s="21" t="s">
        <v>1484</v>
      </c>
      <c r="B366" s="21" t="s">
        <v>1485</v>
      </c>
      <c r="C366" s="21"/>
      <c r="D366" s="21" t="s">
        <v>1035</v>
      </c>
      <c r="E366" s="21" t="s">
        <v>84</v>
      </c>
      <c r="F366">
        <v>87413</v>
      </c>
      <c r="G366" t="s">
        <v>62</v>
      </c>
      <c r="I366">
        <v>200</v>
      </c>
      <c r="J366" t="s">
        <v>63</v>
      </c>
      <c r="K366" t="s">
        <v>4134</v>
      </c>
      <c r="L366" t="s">
        <v>3627</v>
      </c>
      <c r="M366">
        <v>8</v>
      </c>
      <c r="N366" t="s">
        <v>3882</v>
      </c>
      <c r="O366" s="21" t="s">
        <v>3883</v>
      </c>
      <c r="P366" s="21"/>
      <c r="Q366" s="21" t="s">
        <v>1490</v>
      </c>
      <c r="R366" s="21" t="s">
        <v>112</v>
      </c>
      <c r="S366" s="21" t="s">
        <v>94</v>
      </c>
      <c r="T366" t="s">
        <v>1491</v>
      </c>
      <c r="U366" t="s">
        <v>62</v>
      </c>
      <c r="W366" s="23">
        <v>163431</v>
      </c>
      <c r="X366" s="21">
        <v>2</v>
      </c>
      <c r="Y366" s="21">
        <v>2</v>
      </c>
      <c r="AA366" s="21" t="s">
        <v>70</v>
      </c>
      <c r="AD366" s="21" t="s">
        <v>119</v>
      </c>
      <c r="AE366">
        <v>1382</v>
      </c>
      <c r="AF366" t="s">
        <v>120</v>
      </c>
      <c r="AI366">
        <v>13820000</v>
      </c>
      <c r="AJ366" t="s">
        <v>119</v>
      </c>
      <c r="AM366" s="21">
        <v>213112</v>
      </c>
      <c r="AN366" s="21" t="s">
        <v>74</v>
      </c>
      <c r="AO366" s="21"/>
      <c r="AP366" s="21"/>
      <c r="AQ366" s="21" t="s">
        <v>75</v>
      </c>
      <c r="AT366" t="s">
        <v>76</v>
      </c>
      <c r="BF366">
        <v>0</v>
      </c>
      <c r="BG366" s="24">
        <v>0</v>
      </c>
      <c r="BH366" s="24"/>
      <c r="BI366" s="24"/>
      <c r="BJ366" s="24"/>
      <c r="BK366" s="24"/>
      <c r="BL366" s="24"/>
      <c r="BM366" s="24"/>
      <c r="BN366" s="24"/>
      <c r="BO366" s="24"/>
      <c r="BQ366" s="24"/>
      <c r="BR366" s="24"/>
      <c r="BS366" s="24"/>
      <c r="BU366" s="24"/>
      <c r="BX366" s="24"/>
      <c r="CG366" s="24"/>
      <c r="CH366" s="24"/>
      <c r="CI366" s="24"/>
      <c r="CJ366" s="24"/>
      <c r="CK366" s="19">
        <f>IF(BQ366&gt;0,BQ366,W366)</f>
        <v>163431</v>
      </c>
      <c r="CL366" s="20">
        <f>IF(BS366&gt;0,BS366,Y366)</f>
        <v>2</v>
      </c>
      <c r="CM366" s="34">
        <f>IF(CG366&gt;0,CG366,AM366)</f>
        <v>213112</v>
      </c>
      <c r="CN366" s="80">
        <f>IF($BH366="",1,COUNTIF($BH$3:$BH366,$BH366))</f>
        <v>1</v>
      </c>
      <c r="CO366" s="33" t="s">
        <v>4386</v>
      </c>
      <c r="CP366" t="str">
        <f>IF($K366="Standard Match","Match",IF($K366="Name Only Match",IF($CO366="Yes","Match","Name Only Match"),"No Match"))</f>
        <v>Match</v>
      </c>
      <c r="CQ366" s="35" t="str">
        <f>IF(AND(CP366="Match",CK366&gt;0,CL366&gt;0),"Y","N")</f>
        <v>Y</v>
      </c>
      <c r="CR366" s="21"/>
      <c r="CS366" t="str">
        <f>IF($CQ366="Y",VLOOKUP($CM366,'SBA Size Standards'!$B$3:$G$57,MATCH('SBA Size Standards'!$G$3,'SBA Size Standards'!$B$3:$G$3,0),FALSE),"")</f>
        <v>Revenue</v>
      </c>
      <c r="CT366" s="60">
        <f>IF(CQ366="Y",IF($CS366="Employment","N/A",VLOOKUP($CM366,'SBA Size Standards'!$B$3:$G$57,MATCH('SBA Size Standards'!$E$3,'SBA Size Standards'!$B$3:$G$3,0),FALSE)),"")</f>
        <v>41500000</v>
      </c>
      <c r="CU366" s="86" t="str">
        <f>IF($CQ366="Y",IF($CS366="Revenue","N/A",VLOOKUP($CM366,'SBA Size Standards'!$B$3:$G$57,MATCH('SBA Size Standards'!$F$3,'SBA Size Standards'!$B$3:$G$3,0),FALSE)),"")</f>
        <v>N/A</v>
      </c>
      <c r="CV366" t="str">
        <f>IF($CQ366="Y",IF(OR(AND($CS366="Employment",$CL366&lt;$CU366),AND($CS366="Revenue",$CK366&lt;$CT366)),"YES","NO"),"")</f>
        <v>YES</v>
      </c>
      <c r="CW366" s="90" t="str">
        <f>IF($CQ366="Y",INDEX('SBA Size Standards'!$N$3:$N$12,MATCH($CK366,'SBA Size Standards'!$O$3:$O$12,1)),"")</f>
        <v>$100,001 - $500,000</v>
      </c>
      <c r="CX366" s="122" t="s">
        <v>4963</v>
      </c>
      <c r="CY366" s="122">
        <f>INDEX('NM O&amp;G Production'!$P$3:$P$537,MATCH(CX366,'NM O&amp;G Production'!$Q$3:$Q$537,0))</f>
        <v>200</v>
      </c>
      <c r="CZ366" s="122" t="str">
        <f>INDEX('NM O&amp;G Production'!$O$3:$O$537,MATCH(CY366,'NM O&amp;G Production'!$P$3:$P$537,0))</f>
        <v>No</v>
      </c>
      <c r="DA366" s="127">
        <f>INDEX('NM O&amp;G Production'!$K$3:$O$537,MATCH($CY366,'NM O&amp;G Production'!$P$3:$P$537,0),MATCH(DA$2,'NM O&amp;G Production'!$K$2:$O$2,0))</f>
        <v>0</v>
      </c>
      <c r="DB366" s="127">
        <f>INDEX('NM O&amp;G Production'!$K$3:$O$537,MATCH($CY366,'NM O&amp;G Production'!$P$3:$P$537,0),MATCH(DB$2,'NM O&amp;G Production'!$K$2:$O$2,0))</f>
        <v>0</v>
      </c>
      <c r="DC366" s="127"/>
      <c r="DD366" s="127">
        <f>INDEX('NM O&amp;G Production'!$K$3:$O$537,MATCH($CY366,'NM O&amp;G Production'!$P$3:$P$537,0),MATCH(DD$2,'NM O&amp;G Production'!$K$2:$O$2,0))</f>
        <v>0</v>
      </c>
      <c r="DE366" s="127">
        <f>INDEX('NM O&amp;G Production'!$K$3:$O$537,MATCH($CY366,'NM O&amp;G Production'!$P$3:$P$537,0),MATCH(DE$2,'NM O&amp;G Production'!$K$2:$O$2,0))</f>
        <v>0</v>
      </c>
      <c r="DF366" s="258" t="e">
        <f>CK366/(DB366+DA366)</f>
        <v>#DIV/0!</v>
      </c>
      <c r="DG366" s="57">
        <f>DD366*(12/18)*1.06*'Oil and Gas Prices'!$C$18</f>
        <v>0</v>
      </c>
      <c r="DH366" s="284">
        <f>DE366*(12/18)*'Oil and Gas Prices'!$C$4</f>
        <v>0</v>
      </c>
      <c r="DI366" s="284"/>
      <c r="DJ366" s="57" t="e">
        <f>(DG366+DH366)/(DA366+DB366)</f>
        <v>#DIV/0!</v>
      </c>
      <c r="DK366" s="18" t="e">
        <f>CK366/DI366</f>
        <v>#DIV/0!</v>
      </c>
    </row>
    <row r="367" spans="1:115" x14ac:dyDescent="0.25">
      <c r="A367" t="s">
        <v>3310</v>
      </c>
      <c r="B367" t="s">
        <v>3311</v>
      </c>
      <c r="D367" t="s">
        <v>183</v>
      </c>
      <c r="E367" t="s">
        <v>184</v>
      </c>
      <c r="F367">
        <v>741520098</v>
      </c>
      <c r="G367" t="s">
        <v>62</v>
      </c>
      <c r="I367">
        <v>489</v>
      </c>
      <c r="J367" t="s">
        <v>63</v>
      </c>
      <c r="K367" t="s">
        <v>4133</v>
      </c>
      <c r="L367" t="s">
        <v>279</v>
      </c>
      <c r="M367">
        <v>8</v>
      </c>
      <c r="N367" t="s">
        <v>3312</v>
      </c>
      <c r="O367" t="s">
        <v>3313</v>
      </c>
      <c r="Q367" t="s">
        <v>335</v>
      </c>
      <c r="R367" t="s">
        <v>183</v>
      </c>
      <c r="S367" t="s">
        <v>188</v>
      </c>
      <c r="T367" t="s">
        <v>336</v>
      </c>
      <c r="U367" t="s">
        <v>62</v>
      </c>
      <c r="V367">
        <v>9188354855</v>
      </c>
      <c r="W367" s="1">
        <v>161051</v>
      </c>
      <c r="X367">
        <v>5</v>
      </c>
      <c r="Y367">
        <v>5</v>
      </c>
      <c r="Z367">
        <v>2005</v>
      </c>
      <c r="AA367" t="s">
        <v>70</v>
      </c>
      <c r="AB367" t="s">
        <v>3314</v>
      </c>
      <c r="AC367" t="s">
        <v>145</v>
      </c>
      <c r="AD367" t="s">
        <v>3315</v>
      </c>
      <c r="AE367">
        <v>6282</v>
      </c>
      <c r="AF367" t="s">
        <v>3316</v>
      </c>
      <c r="AI367">
        <v>62829902</v>
      </c>
      <c r="AJ367" t="s">
        <v>3317</v>
      </c>
      <c r="AM367">
        <v>523930</v>
      </c>
      <c r="AN367" t="s">
        <v>3316</v>
      </c>
      <c r="AQ367" t="s">
        <v>75</v>
      </c>
      <c r="AT367" t="s">
        <v>76</v>
      </c>
      <c r="BF367">
        <v>0</v>
      </c>
      <c r="BG367">
        <v>0</v>
      </c>
      <c r="CK367" s="19">
        <f>IF(BQ367&gt;0,BQ367,W367)</f>
        <v>161051</v>
      </c>
      <c r="CL367" s="20">
        <f>IF(BS367&gt;0,BS367,Y367)</f>
        <v>5</v>
      </c>
      <c r="CM367" s="34">
        <f>IF(CG367&gt;0,CG367,AM367)</f>
        <v>523930</v>
      </c>
      <c r="CN367" s="80">
        <f>IF($BH367="",1,COUNTIF($BH$3:$BH367,$BH367))</f>
        <v>1</v>
      </c>
      <c r="CP367" t="str">
        <f>IF($K367="Standard Match","Match",IF($K367="Name Only Match",IF($CO367="Yes","Match","Name Only Match"),"No Match"))</f>
        <v>Match</v>
      </c>
      <c r="CQ367" s="35" t="str">
        <f>IF(AND(CP367="Match",CK367&gt;0,CL367&gt;0),"Y","N")</f>
        <v>Y</v>
      </c>
      <c r="CS367" t="str">
        <f>IF($CQ367="Y",VLOOKUP($CM367,'SBA Size Standards'!$B$3:$G$57,MATCH('SBA Size Standards'!$G$3,'SBA Size Standards'!$B$3:$G$3,0),FALSE),"")</f>
        <v>Revenue</v>
      </c>
      <c r="CT367" s="60">
        <f>IF(CQ367="Y",IF($CS367="Employment","N/A",VLOOKUP($CM367,'SBA Size Standards'!$B$3:$G$57,MATCH('SBA Size Standards'!$E$3,'SBA Size Standards'!$B$3:$G$3,0),FALSE)),"")</f>
        <v>41500000</v>
      </c>
      <c r="CU367" s="86" t="str">
        <f>IF($CQ367="Y",IF($CS367="Revenue","N/A",VLOOKUP($CM367,'SBA Size Standards'!$B$3:$G$57,MATCH('SBA Size Standards'!$F$3,'SBA Size Standards'!$B$3:$G$3,0),FALSE)),"")</f>
        <v>N/A</v>
      </c>
      <c r="CV367" t="str">
        <f>IF($CQ367="Y",IF(OR(AND($CS367="Employment",$CL367&lt;$CU367),AND($CS367="Revenue",$CK367&lt;$CT367)),"YES","NO"),"")</f>
        <v>YES</v>
      </c>
      <c r="CW367" s="90" t="str">
        <f>IF($CQ367="Y",INDEX('SBA Size Standards'!$N$3:$N$12,MATCH($CK367,'SBA Size Standards'!$O$3:$O$12,1)),"")</f>
        <v>$100,001 - $500,000</v>
      </c>
      <c r="CX367" s="122" t="s">
        <v>4914</v>
      </c>
      <c r="CY367" s="122">
        <f>INDEX('NM O&amp;G Production'!$P$3:$P$537,MATCH(CX367,'NM O&amp;G Production'!$Q$3:$Q$537,0))</f>
        <v>489</v>
      </c>
      <c r="CZ367" s="122" t="str">
        <f>INDEX('NM O&amp;G Production'!$O$3:$O$537,MATCH(CY367,'NM O&amp;G Production'!$P$3:$P$537,0))</f>
        <v>Yes</v>
      </c>
      <c r="DA367" s="127">
        <f>INDEX('NM O&amp;G Production'!$K$3:$O$537,MATCH($CY367,'NM O&amp;G Production'!$P$3:$P$537,0),MATCH(DA$2,'NM O&amp;G Production'!$K$2:$O$2,0))</f>
        <v>0</v>
      </c>
      <c r="DB367" s="127">
        <f>INDEX('NM O&amp;G Production'!$K$3:$O$537,MATCH($CY367,'NM O&amp;G Production'!$P$3:$P$537,0),MATCH(DB$2,'NM O&amp;G Production'!$K$2:$O$2,0))</f>
        <v>4</v>
      </c>
      <c r="DC367" s="127">
        <f>DA367+DB367</f>
        <v>4</v>
      </c>
      <c r="DD367" s="127">
        <f>INDEX('NM O&amp;G Production'!$K$3:$O$537,MATCH($CY367,'NM O&amp;G Production'!$P$3:$P$537,0),MATCH(DD$2,'NM O&amp;G Production'!$K$2:$O$2,0))</f>
        <v>64447</v>
      </c>
      <c r="DE367" s="127">
        <f>INDEX('NM O&amp;G Production'!$K$3:$O$537,MATCH($CY367,'NM O&amp;G Production'!$P$3:$P$537,0),MATCH(DE$2,'NM O&amp;G Production'!$K$2:$O$2,0))</f>
        <v>7063</v>
      </c>
      <c r="DF367" s="258">
        <f>CK367/(DB367+DA367)</f>
        <v>40262.75</v>
      </c>
      <c r="DG367" s="57">
        <f>DD367*(12/18)*1.06*'Oil and Gas Prices'!$C$18</f>
        <v>108846.68653333334</v>
      </c>
      <c r="DH367" s="284">
        <f>DE367*(12/18)*'Oil and Gas Prices'!$C$4</f>
        <v>211889.99999999997</v>
      </c>
      <c r="DI367" s="284">
        <f>DG367+DH367</f>
        <v>320736.68653333333</v>
      </c>
      <c r="DJ367" s="57">
        <f>(DG367+DH367)/(DA367+DB367)</f>
        <v>80184.171633333332</v>
      </c>
      <c r="DK367" s="318"/>
    </row>
    <row r="368" spans="1:115" x14ac:dyDescent="0.25">
      <c r="A368" t="s">
        <v>1612</v>
      </c>
      <c r="B368" t="s">
        <v>1613</v>
      </c>
      <c r="D368" t="s">
        <v>1265</v>
      </c>
      <c r="E368" t="s">
        <v>84</v>
      </c>
      <c r="F368">
        <v>88260</v>
      </c>
      <c r="G368" t="s">
        <v>62</v>
      </c>
      <c r="I368">
        <v>218</v>
      </c>
      <c r="J368" t="s">
        <v>63</v>
      </c>
      <c r="K368" t="s">
        <v>4133</v>
      </c>
      <c r="L368" t="s">
        <v>149</v>
      </c>
      <c r="M368">
        <v>10</v>
      </c>
      <c r="N368" t="s">
        <v>1614</v>
      </c>
      <c r="O368" t="s">
        <v>1615</v>
      </c>
      <c r="Q368" t="s">
        <v>1616</v>
      </c>
      <c r="R368" t="s">
        <v>1265</v>
      </c>
      <c r="S368" t="s">
        <v>214</v>
      </c>
      <c r="T368" t="s">
        <v>1617</v>
      </c>
      <c r="U368" t="s">
        <v>62</v>
      </c>
      <c r="V368">
        <v>5753962501</v>
      </c>
      <c r="W368" s="1">
        <v>160000</v>
      </c>
      <c r="X368">
        <v>2</v>
      </c>
      <c r="Y368">
        <v>2</v>
      </c>
      <c r="Z368">
        <v>1975</v>
      </c>
      <c r="AA368" t="s">
        <v>70</v>
      </c>
      <c r="AB368" t="s">
        <v>1618</v>
      </c>
      <c r="AC368" t="s">
        <v>98</v>
      </c>
      <c r="AD368" t="s">
        <v>71</v>
      </c>
      <c r="AE368">
        <v>1389</v>
      </c>
      <c r="AF368" t="s">
        <v>72</v>
      </c>
      <c r="AG368">
        <v>212</v>
      </c>
      <c r="AH368" t="s">
        <v>1619</v>
      </c>
      <c r="AI368">
        <v>13899912</v>
      </c>
      <c r="AJ368" t="s">
        <v>426</v>
      </c>
      <c r="AK368">
        <v>2120000</v>
      </c>
      <c r="AL368" t="s">
        <v>1620</v>
      </c>
      <c r="AM368">
        <v>213112</v>
      </c>
      <c r="AN368" t="s">
        <v>74</v>
      </c>
      <c r="AO368">
        <v>112111</v>
      </c>
      <c r="AP368" t="s">
        <v>1621</v>
      </c>
      <c r="AQ368" t="s">
        <v>75</v>
      </c>
      <c r="AT368" t="s">
        <v>76</v>
      </c>
      <c r="BF368">
        <v>0</v>
      </c>
      <c r="BG368">
        <v>0</v>
      </c>
      <c r="CK368" s="19">
        <f>IF(BQ368&gt;0,BQ368,W368)</f>
        <v>160000</v>
      </c>
      <c r="CL368" s="20">
        <f>IF(BS368&gt;0,BS368,Y368)</f>
        <v>2</v>
      </c>
      <c r="CM368" s="34">
        <f>IF(CG368&gt;0,CG368,AM368)</f>
        <v>213112</v>
      </c>
      <c r="CN368" s="80">
        <f>IF($BH368="",1,COUNTIF($BH$3:$BH368,$BH368))</f>
        <v>1</v>
      </c>
      <c r="CP368" t="str">
        <f>IF($K368="Standard Match","Match",IF($K368="Name Only Match",IF($CO368="Yes","Match","Name Only Match"),"No Match"))</f>
        <v>Match</v>
      </c>
      <c r="CQ368" s="35" t="str">
        <f>IF(AND(CP368="Match",CK368&gt;0,CL368&gt;0),"Y","N")</f>
        <v>Y</v>
      </c>
      <c r="CS368" t="str">
        <f>IF($CQ368="Y",VLOOKUP($CM368,'SBA Size Standards'!$B$3:$G$57,MATCH('SBA Size Standards'!$G$3,'SBA Size Standards'!$B$3:$G$3,0),FALSE),"")</f>
        <v>Revenue</v>
      </c>
      <c r="CT368" s="60">
        <f>IF(CQ368="Y",IF($CS368="Employment","N/A",VLOOKUP($CM368,'SBA Size Standards'!$B$3:$G$57,MATCH('SBA Size Standards'!$E$3,'SBA Size Standards'!$B$3:$G$3,0),FALSE)),"")</f>
        <v>41500000</v>
      </c>
      <c r="CU368" s="86" t="str">
        <f>IF($CQ368="Y",IF($CS368="Revenue","N/A",VLOOKUP($CM368,'SBA Size Standards'!$B$3:$G$57,MATCH('SBA Size Standards'!$F$3,'SBA Size Standards'!$B$3:$G$3,0),FALSE)),"")</f>
        <v>N/A</v>
      </c>
      <c r="CV368" t="str">
        <f>IF($CQ368="Y",IF(OR(AND($CS368="Employment",$CL368&lt;$CU368),AND($CS368="Revenue",$CK368&lt;$CT368)),"YES","NO"),"")</f>
        <v>YES</v>
      </c>
      <c r="CW368" s="90" t="str">
        <f>IF($CQ368="Y",INDEX('SBA Size Standards'!$N$3:$N$12,MATCH($CK368,'SBA Size Standards'!$O$3:$O$12,1)),"")</f>
        <v>$100,001 - $500,000</v>
      </c>
      <c r="CX368" s="122" t="s">
        <v>4639</v>
      </c>
      <c r="CY368" s="122">
        <f>INDEX('NM O&amp;G Production'!$P$3:$P$537,MATCH(CX368,'NM O&amp;G Production'!$Q$3:$Q$537,0))</f>
        <v>218</v>
      </c>
      <c r="CZ368" s="122" t="str">
        <f>INDEX('NM O&amp;G Production'!$O$3:$O$537,MATCH(CY368,'NM O&amp;G Production'!$P$3:$P$537,0))</f>
        <v>Yes</v>
      </c>
      <c r="DA368" s="127">
        <f>INDEX('NM O&amp;G Production'!$K$3:$O$537,MATCH($CY368,'NM O&amp;G Production'!$P$3:$P$537,0),MATCH(DA$2,'NM O&amp;G Production'!$K$2:$O$2,0))</f>
        <v>2</v>
      </c>
      <c r="DB368" s="127">
        <f>INDEX('NM O&amp;G Production'!$K$3:$O$537,MATCH($CY368,'NM O&amp;G Production'!$P$3:$P$537,0),MATCH(DB$2,'NM O&amp;G Production'!$K$2:$O$2,0))</f>
        <v>9</v>
      </c>
      <c r="DC368" s="127">
        <f>DA368+DB368</f>
        <v>11</v>
      </c>
      <c r="DD368" s="127">
        <f>INDEX('NM O&amp;G Production'!$K$3:$O$537,MATCH($CY368,'NM O&amp;G Production'!$P$3:$P$537,0),MATCH(DD$2,'NM O&amp;G Production'!$K$2:$O$2,0))</f>
        <v>41542</v>
      </c>
      <c r="DE368" s="127">
        <f>INDEX('NM O&amp;G Production'!$K$3:$O$537,MATCH($CY368,'NM O&amp;G Production'!$P$3:$P$537,0),MATCH(DE$2,'NM O&amp;G Production'!$K$2:$O$2,0))</f>
        <v>4364</v>
      </c>
      <c r="DF368" s="258">
        <f>CK368/(DB368+DA368)</f>
        <v>14545.454545454546</v>
      </c>
      <c r="DG368" s="57">
        <f>DD368*(12/18)*1.06*'Oil and Gas Prices'!$C$18</f>
        <v>70161.66853333333</v>
      </c>
      <c r="DH368" s="284">
        <f>DE368*(12/18)*'Oil and Gas Prices'!$C$4</f>
        <v>130919.99999999999</v>
      </c>
      <c r="DI368" s="284">
        <f>DG368+DH368</f>
        <v>201081.66853333332</v>
      </c>
      <c r="DJ368" s="57">
        <f>(DG368+DH368)/(DA368+DB368)</f>
        <v>18280.151684848483</v>
      </c>
      <c r="DK368" s="318"/>
    </row>
    <row r="369" spans="1:115" x14ac:dyDescent="0.25">
      <c r="A369" t="s">
        <v>2516</v>
      </c>
      <c r="B369" t="s">
        <v>2517</v>
      </c>
      <c r="D369" t="s">
        <v>2518</v>
      </c>
      <c r="E369" t="s">
        <v>2519</v>
      </c>
      <c r="F369">
        <v>82602</v>
      </c>
      <c r="G369" t="s">
        <v>62</v>
      </c>
      <c r="I369">
        <v>363</v>
      </c>
      <c r="J369" t="s">
        <v>63</v>
      </c>
      <c r="K369" t="s">
        <v>4133</v>
      </c>
      <c r="L369" t="s">
        <v>279</v>
      </c>
      <c r="M369">
        <v>8</v>
      </c>
      <c r="N369" t="s">
        <v>2520</v>
      </c>
      <c r="O369" t="s">
        <v>2521</v>
      </c>
      <c r="Q369" t="s">
        <v>2522</v>
      </c>
      <c r="R369" t="s">
        <v>2518</v>
      </c>
      <c r="S369" t="s">
        <v>2523</v>
      </c>
      <c r="T369" t="s">
        <v>2524</v>
      </c>
      <c r="U369" t="s">
        <v>62</v>
      </c>
      <c r="V369">
        <v>3075771990</v>
      </c>
      <c r="W369" s="1">
        <v>160000</v>
      </c>
      <c r="X369">
        <v>2</v>
      </c>
      <c r="Y369">
        <v>2</v>
      </c>
      <c r="Z369">
        <v>2008</v>
      </c>
      <c r="AA369" t="s">
        <v>70</v>
      </c>
      <c r="AB369" t="s">
        <v>2525</v>
      </c>
      <c r="AC369" t="s">
        <v>145</v>
      </c>
      <c r="AD369" t="s">
        <v>1320</v>
      </c>
      <c r="AE369">
        <v>2911</v>
      </c>
      <c r="AF369" t="s">
        <v>774</v>
      </c>
      <c r="AI369">
        <v>29110303</v>
      </c>
      <c r="AJ369" t="s">
        <v>1685</v>
      </c>
      <c r="AM369">
        <v>324110</v>
      </c>
      <c r="AN369" t="s">
        <v>776</v>
      </c>
      <c r="AQ369" t="s">
        <v>75</v>
      </c>
      <c r="AT369" t="s">
        <v>76</v>
      </c>
      <c r="BF369">
        <v>0</v>
      </c>
      <c r="BG369">
        <v>0</v>
      </c>
      <c r="CK369" s="19">
        <f>IF(BQ369&gt;0,BQ369,W369)</f>
        <v>160000</v>
      </c>
      <c r="CL369" s="20">
        <f>IF(BS369&gt;0,BS369,Y369)</f>
        <v>2</v>
      </c>
      <c r="CM369" s="34">
        <f>IF(CG369&gt;0,CG369,AM369)</f>
        <v>324110</v>
      </c>
      <c r="CN369" s="80">
        <f>IF($BH369="",1,COUNTIF($BH$3:$BH369,$BH369))</f>
        <v>1</v>
      </c>
      <c r="CP369" t="str">
        <f>IF($K369="Standard Match","Match",IF($K369="Name Only Match",IF($CO369="Yes","Match","Name Only Match"),"No Match"))</f>
        <v>Match</v>
      </c>
      <c r="CQ369" s="35" t="str">
        <f>IF(AND(CP369="Match",CK369&gt;0,CL369&gt;0),"Y","N")</f>
        <v>Y</v>
      </c>
      <c r="CS369" t="str">
        <f>IF($CQ369="Y",VLOOKUP($CM369,'SBA Size Standards'!$B$3:$G$57,MATCH('SBA Size Standards'!$G$3,'SBA Size Standards'!$B$3:$G$3,0),FALSE),"")</f>
        <v>Employment</v>
      </c>
      <c r="CT369" s="60" t="str">
        <f>IF(CQ369="Y",IF($CS369="Employment","N/A",VLOOKUP($CM369,'SBA Size Standards'!$B$3:$G$57,MATCH('SBA Size Standards'!$E$3,'SBA Size Standards'!$B$3:$G$3,0),FALSE)),"")</f>
        <v>N/A</v>
      </c>
      <c r="CU369" s="86">
        <f>IF($CQ369="Y",IF($CS369="Revenue","N/A",VLOOKUP($CM369,'SBA Size Standards'!$B$3:$G$57,MATCH('SBA Size Standards'!$F$3,'SBA Size Standards'!$B$3:$G$3,0),FALSE)),"")</f>
        <v>1500</v>
      </c>
      <c r="CV369" t="str">
        <f>IF($CQ369="Y",IF(OR(AND($CS369="Employment",$CL369&lt;$CU369),AND($CS369="Revenue",$CK369&lt;$CT369)),"YES","NO"),"")</f>
        <v>YES</v>
      </c>
      <c r="CW369" s="90" t="str">
        <f>IF($CQ369="Y",INDEX('SBA Size Standards'!$N$3:$N$12,MATCH($CK369,'SBA Size Standards'!$O$3:$O$12,1)),"")</f>
        <v>$100,001 - $500,000</v>
      </c>
      <c r="CX369" s="122" t="s">
        <v>4887</v>
      </c>
      <c r="CY369" s="122">
        <f>INDEX('NM O&amp;G Production'!$P$3:$P$537,MATCH(CX369,'NM O&amp;G Production'!$Q$3:$Q$537,0))</f>
        <v>363</v>
      </c>
      <c r="CZ369" s="122" t="str">
        <f>INDEX('NM O&amp;G Production'!$O$3:$O$537,MATCH(CY369,'NM O&amp;G Production'!$P$3:$P$537,0))</f>
        <v>Yes</v>
      </c>
      <c r="DA369" s="127">
        <f>INDEX('NM O&amp;G Production'!$K$3:$O$537,MATCH($CY369,'NM O&amp;G Production'!$P$3:$P$537,0),MATCH(DA$2,'NM O&amp;G Production'!$K$2:$O$2,0))</f>
        <v>0</v>
      </c>
      <c r="DB369" s="127">
        <f>INDEX('NM O&amp;G Production'!$K$3:$O$537,MATCH($CY369,'NM O&amp;G Production'!$P$3:$P$537,0),MATCH(DB$2,'NM O&amp;G Production'!$K$2:$O$2,0))</f>
        <v>1</v>
      </c>
      <c r="DC369" s="127">
        <f>DA369+DB369</f>
        <v>1</v>
      </c>
      <c r="DD369" s="127">
        <f>INDEX('NM O&amp;G Production'!$K$3:$O$537,MATCH($CY369,'NM O&amp;G Production'!$P$3:$P$537,0),MATCH(DD$2,'NM O&amp;G Production'!$K$2:$O$2,0))</f>
        <v>10154</v>
      </c>
      <c r="DE369" s="127">
        <f>INDEX('NM O&amp;G Production'!$K$3:$O$537,MATCH($CY369,'NM O&amp;G Production'!$P$3:$P$537,0),MATCH(DE$2,'NM O&amp;G Production'!$K$2:$O$2,0))</f>
        <v>0</v>
      </c>
      <c r="DF369" s="258">
        <f>CK369/(DB369+DA369)</f>
        <v>160000</v>
      </c>
      <c r="DG369" s="57">
        <f>DD369*(12/18)*1.06*'Oil and Gas Prices'!$C$18</f>
        <v>17149.429066666667</v>
      </c>
      <c r="DH369" s="284">
        <f>DE369*(12/18)*'Oil and Gas Prices'!$C$4</f>
        <v>0</v>
      </c>
      <c r="DI369" s="284">
        <f>DG369+DH369</f>
        <v>17149.429066666667</v>
      </c>
      <c r="DJ369" s="57">
        <f>(DG369+DH369)/(DA369+DB369)</f>
        <v>17149.429066666667</v>
      </c>
      <c r="DK369" s="319"/>
    </row>
    <row r="370" spans="1:115" x14ac:dyDescent="0.25">
      <c r="A370" s="21" t="s">
        <v>204</v>
      </c>
      <c r="B370" s="21" t="s">
        <v>205</v>
      </c>
      <c r="C370" s="21"/>
      <c r="D370" s="21" t="s">
        <v>206</v>
      </c>
      <c r="E370" s="21" t="s">
        <v>84</v>
      </c>
      <c r="F370">
        <v>88240</v>
      </c>
      <c r="G370" t="s">
        <v>62</v>
      </c>
      <c r="I370">
        <v>18</v>
      </c>
      <c r="J370" t="s">
        <v>63</v>
      </c>
      <c r="K370" t="s">
        <v>4134</v>
      </c>
      <c r="L370" t="s">
        <v>3627</v>
      </c>
      <c r="M370">
        <v>8</v>
      </c>
      <c r="N370" t="s">
        <v>3748</v>
      </c>
      <c r="O370" s="21" t="s">
        <v>3749</v>
      </c>
      <c r="P370" s="21"/>
      <c r="Q370" s="21" t="s">
        <v>3750</v>
      </c>
      <c r="R370" s="21" t="s">
        <v>437</v>
      </c>
      <c r="S370" s="21" t="s">
        <v>94</v>
      </c>
      <c r="T370" t="s">
        <v>3751</v>
      </c>
      <c r="U370" t="s">
        <v>62</v>
      </c>
      <c r="V370">
        <v>9037579408</v>
      </c>
      <c r="W370" s="23">
        <v>157944</v>
      </c>
      <c r="X370" s="21">
        <v>2</v>
      </c>
      <c r="Y370" s="21">
        <v>2</v>
      </c>
      <c r="Z370">
        <v>1981</v>
      </c>
      <c r="AA370" s="21" t="s">
        <v>70</v>
      </c>
      <c r="AB370" t="s">
        <v>3752</v>
      </c>
      <c r="AC370" t="s">
        <v>145</v>
      </c>
      <c r="AD370" s="21" t="s">
        <v>119</v>
      </c>
      <c r="AE370">
        <v>1382</v>
      </c>
      <c r="AF370" t="s">
        <v>120</v>
      </c>
      <c r="AI370">
        <v>13820000</v>
      </c>
      <c r="AJ370" t="s">
        <v>119</v>
      </c>
      <c r="AM370" s="21">
        <v>213112</v>
      </c>
      <c r="AN370" s="21" t="s">
        <v>74</v>
      </c>
      <c r="AO370" s="21"/>
      <c r="AP370" s="21"/>
      <c r="AQ370" s="21" t="s">
        <v>75</v>
      </c>
      <c r="AT370" t="s">
        <v>76</v>
      </c>
      <c r="BF370">
        <v>0</v>
      </c>
      <c r="BG370" s="24">
        <v>0</v>
      </c>
      <c r="BH370" s="24"/>
      <c r="BI370" s="24"/>
      <c r="BJ370" s="24"/>
      <c r="BK370" s="24"/>
      <c r="BL370" s="24"/>
      <c r="BM370" s="24"/>
      <c r="BN370" s="24"/>
      <c r="BO370" s="24"/>
      <c r="BQ370" s="24"/>
      <c r="BR370" s="24"/>
      <c r="BS370" s="24"/>
      <c r="BU370" s="24"/>
      <c r="BX370" s="24"/>
      <c r="CG370" s="24"/>
      <c r="CH370" s="24"/>
      <c r="CI370" s="24"/>
      <c r="CJ370" s="24"/>
      <c r="CK370" s="19">
        <f>IF(BQ370&gt;0,BQ370,W370)</f>
        <v>157944</v>
      </c>
      <c r="CL370" s="20">
        <f>IF(BS370&gt;0,BS370,Y370)</f>
        <v>2</v>
      </c>
      <c r="CM370" s="34">
        <f>IF(CG370&gt;0,CG370,AM370)</f>
        <v>213112</v>
      </c>
      <c r="CN370" s="80">
        <f>IF($BH370="",1,COUNTIF($BH$3:$BH370,$BH370))</f>
        <v>1</v>
      </c>
      <c r="CO370" s="33" t="s">
        <v>4386</v>
      </c>
      <c r="CP370" t="str">
        <f>IF($K370="Standard Match","Match",IF($K370="Name Only Match",IF($CO370="Yes","Match","Name Only Match"),"No Match"))</f>
        <v>Match</v>
      </c>
      <c r="CQ370" s="35" t="str">
        <f>IF(AND(CP370="Match",CK370&gt;0,CL370&gt;0),"Y","N")</f>
        <v>Y</v>
      </c>
      <c r="CR370" s="21"/>
      <c r="CS370" t="str">
        <f>IF($CQ370="Y",VLOOKUP($CM370,'SBA Size Standards'!$B$3:$G$57,MATCH('SBA Size Standards'!$G$3,'SBA Size Standards'!$B$3:$G$3,0),FALSE),"")</f>
        <v>Revenue</v>
      </c>
      <c r="CT370" s="60">
        <f>IF(CQ370="Y",IF($CS370="Employment","N/A",VLOOKUP($CM370,'SBA Size Standards'!$B$3:$G$57,MATCH('SBA Size Standards'!$E$3,'SBA Size Standards'!$B$3:$G$3,0),FALSE)),"")</f>
        <v>41500000</v>
      </c>
      <c r="CU370" s="86" t="str">
        <f>IF($CQ370="Y",IF($CS370="Revenue","N/A",VLOOKUP($CM370,'SBA Size Standards'!$B$3:$G$57,MATCH('SBA Size Standards'!$F$3,'SBA Size Standards'!$B$3:$G$3,0),FALSE)),"")</f>
        <v>N/A</v>
      </c>
      <c r="CV370" t="str">
        <f>IF($CQ370="Y",IF(OR(AND($CS370="Employment",$CL370&lt;$CU370),AND($CS370="Revenue",$CK370&lt;$CT370)),"YES","NO"),"")</f>
        <v>YES</v>
      </c>
      <c r="CW370" s="90" t="str">
        <f>IF($CQ370="Y",INDEX('SBA Size Standards'!$N$3:$N$12,MATCH($CK370,'SBA Size Standards'!$O$3:$O$12,1)),"")</f>
        <v>$100,001 - $500,000</v>
      </c>
      <c r="CX370" s="122" t="s">
        <v>4931</v>
      </c>
      <c r="CY370" s="122">
        <f>INDEX('NM O&amp;G Production'!$P$3:$P$537,MATCH(CX370,'NM O&amp;G Production'!$Q$3:$Q$537,0))</f>
        <v>18</v>
      </c>
      <c r="CZ370" s="122" t="str">
        <f>INDEX('NM O&amp;G Production'!$O$3:$O$537,MATCH(CY370,'NM O&amp;G Production'!$P$3:$P$537,0))</f>
        <v>No</v>
      </c>
      <c r="DA370" s="127">
        <f>INDEX('NM O&amp;G Production'!$K$3:$O$537,MATCH($CY370,'NM O&amp;G Production'!$P$3:$P$537,0),MATCH(DA$2,'NM O&amp;G Production'!$K$2:$O$2,0))</f>
        <v>0</v>
      </c>
      <c r="DB370" s="127">
        <f>INDEX('NM O&amp;G Production'!$K$3:$O$537,MATCH($CY370,'NM O&amp;G Production'!$P$3:$P$537,0),MATCH(DB$2,'NM O&amp;G Production'!$K$2:$O$2,0))</f>
        <v>0</v>
      </c>
      <c r="DC370" s="127"/>
      <c r="DD370" s="127">
        <f>INDEX('NM O&amp;G Production'!$K$3:$O$537,MATCH($CY370,'NM O&amp;G Production'!$P$3:$P$537,0),MATCH(DD$2,'NM O&amp;G Production'!$K$2:$O$2,0))</f>
        <v>0</v>
      </c>
      <c r="DE370" s="127">
        <f>INDEX('NM O&amp;G Production'!$K$3:$O$537,MATCH($CY370,'NM O&amp;G Production'!$P$3:$P$537,0),MATCH(DE$2,'NM O&amp;G Production'!$K$2:$O$2,0))</f>
        <v>0</v>
      </c>
      <c r="DF370" s="258" t="e">
        <f>CK370/(DB370+DA370)</f>
        <v>#DIV/0!</v>
      </c>
      <c r="DG370" s="57">
        <f>DD370*(12/18)*1.06*'Oil and Gas Prices'!$C$18</f>
        <v>0</v>
      </c>
      <c r="DH370" s="284">
        <f>DE370*(12/18)*'Oil and Gas Prices'!$C$4</f>
        <v>0</v>
      </c>
      <c r="DI370" s="284"/>
      <c r="DJ370" s="57" t="e">
        <f>(DG370+DH370)/(DA370+DB370)</f>
        <v>#DIV/0!</v>
      </c>
      <c r="DK370" s="18" t="e">
        <f>CK370/DI370</f>
        <v>#DIV/0!</v>
      </c>
    </row>
    <row r="371" spans="1:115" x14ac:dyDescent="0.25">
      <c r="A371" t="s">
        <v>1469</v>
      </c>
      <c r="B371" t="s">
        <v>1470</v>
      </c>
      <c r="D371" t="s">
        <v>83</v>
      </c>
      <c r="E371" t="s">
        <v>84</v>
      </c>
      <c r="F371">
        <v>88210</v>
      </c>
      <c r="G371" t="s">
        <v>62</v>
      </c>
      <c r="I371">
        <v>198</v>
      </c>
      <c r="J371" t="s">
        <v>63</v>
      </c>
      <c r="K371" t="s">
        <v>4133</v>
      </c>
      <c r="L371" t="s">
        <v>64</v>
      </c>
      <c r="M371">
        <v>10</v>
      </c>
      <c r="N371" t="s">
        <v>1471</v>
      </c>
      <c r="O371" t="s">
        <v>1472</v>
      </c>
      <c r="Q371" t="s">
        <v>1470</v>
      </c>
      <c r="R371" t="s">
        <v>83</v>
      </c>
      <c r="S371" t="s">
        <v>214</v>
      </c>
      <c r="T371" t="s">
        <v>1473</v>
      </c>
      <c r="U371" t="s">
        <v>62</v>
      </c>
      <c r="V371">
        <v>5757462168</v>
      </c>
      <c r="W371" s="1">
        <v>157436</v>
      </c>
      <c r="X371">
        <v>2</v>
      </c>
      <c r="Y371">
        <v>2</v>
      </c>
      <c r="Z371">
        <v>2007</v>
      </c>
      <c r="AA371" t="s">
        <v>70</v>
      </c>
      <c r="AB371" t="s">
        <v>1474</v>
      </c>
      <c r="AC371" t="s">
        <v>231</v>
      </c>
      <c r="AD371" t="s">
        <v>1300</v>
      </c>
      <c r="AE371">
        <v>7389</v>
      </c>
      <c r="AF371" t="s">
        <v>1301</v>
      </c>
      <c r="AI371">
        <v>73890000</v>
      </c>
      <c r="AJ371" t="s">
        <v>1378</v>
      </c>
      <c r="AM371">
        <v>561499</v>
      </c>
      <c r="AN371" t="s">
        <v>1303</v>
      </c>
      <c r="AQ371" t="s">
        <v>75</v>
      </c>
      <c r="AT371" t="s">
        <v>76</v>
      </c>
      <c r="BF371">
        <v>0</v>
      </c>
      <c r="BG371">
        <v>0</v>
      </c>
      <c r="CK371" s="19">
        <f>IF(BQ371&gt;0,BQ371,W371)</f>
        <v>157436</v>
      </c>
      <c r="CL371" s="20">
        <f>IF(BS371&gt;0,BS371,Y371)</f>
        <v>2</v>
      </c>
      <c r="CM371" s="34">
        <f>IF(CG371&gt;0,CG371,AM371)</f>
        <v>561499</v>
      </c>
      <c r="CN371" s="80">
        <f>IF($BH371="",1,COUNTIF($BH$3:$BH371,$BH371))</f>
        <v>1</v>
      </c>
      <c r="CP371" t="str">
        <f>IF($K371="Standard Match","Match",IF($K371="Name Only Match",IF($CO371="Yes","Match","Name Only Match"),"No Match"))</f>
        <v>Match</v>
      </c>
      <c r="CQ371" s="35" t="str">
        <f>IF(AND(CP371="Match",CK371&gt;0,CL371&gt;0),"Y","N")</f>
        <v>Y</v>
      </c>
      <c r="CS371" t="str">
        <f>IF($CQ371="Y",VLOOKUP($CM371,'SBA Size Standards'!$B$3:$G$57,MATCH('SBA Size Standards'!$G$3,'SBA Size Standards'!$B$3:$G$3,0),FALSE),"")</f>
        <v>Revenue</v>
      </c>
      <c r="CT371" s="60">
        <f>IF(CQ371="Y",IF($CS371="Employment","N/A",VLOOKUP($CM371,'SBA Size Standards'!$B$3:$G$57,MATCH('SBA Size Standards'!$E$3,'SBA Size Standards'!$B$3:$G$3,0),FALSE)),"")</f>
        <v>16500000</v>
      </c>
      <c r="CU371" s="86" t="str">
        <f>IF($CQ371="Y",IF($CS371="Revenue","N/A",VLOOKUP($CM371,'SBA Size Standards'!$B$3:$G$57,MATCH('SBA Size Standards'!$F$3,'SBA Size Standards'!$B$3:$G$3,0),FALSE)),"")</f>
        <v>N/A</v>
      </c>
      <c r="CV371" t="str">
        <f>IF($CQ371="Y",IF(OR(AND($CS371="Employment",$CL371&lt;$CU371),AND($CS371="Revenue",$CK371&lt;$CT371)),"YES","NO"),"")</f>
        <v>YES</v>
      </c>
      <c r="CW371" s="90" t="str">
        <f>IF($CQ371="Y",INDEX('SBA Size Standards'!$N$3:$N$12,MATCH($CK371,'SBA Size Standards'!$O$3:$O$12,1)),"")</f>
        <v>$100,001 - $500,000</v>
      </c>
      <c r="CX371" s="122" t="s">
        <v>4625</v>
      </c>
      <c r="CY371" s="122">
        <f>INDEX('NM O&amp;G Production'!$P$3:$P$537,MATCH(CX371,'NM O&amp;G Production'!$Q$3:$Q$537,0))</f>
        <v>198</v>
      </c>
      <c r="CZ371" s="122" t="str">
        <f>INDEX('NM O&amp;G Production'!$O$3:$O$537,MATCH(CY371,'NM O&amp;G Production'!$P$3:$P$537,0))</f>
        <v>Yes</v>
      </c>
      <c r="DA371" s="127">
        <f>INDEX('NM O&amp;G Production'!$K$3:$O$537,MATCH($CY371,'NM O&amp;G Production'!$P$3:$P$537,0),MATCH(DA$2,'NM O&amp;G Production'!$K$2:$O$2,0))</f>
        <v>0</v>
      </c>
      <c r="DB371" s="127">
        <f>INDEX('NM O&amp;G Production'!$K$3:$O$537,MATCH($CY371,'NM O&amp;G Production'!$P$3:$P$537,0),MATCH(DB$2,'NM O&amp;G Production'!$K$2:$O$2,0))</f>
        <v>21</v>
      </c>
      <c r="DC371" s="127">
        <f>DA371+DB371</f>
        <v>21</v>
      </c>
      <c r="DD371" s="127">
        <f>INDEX('NM O&amp;G Production'!$K$3:$O$537,MATCH($CY371,'NM O&amp;G Production'!$P$3:$P$537,0),MATCH(DD$2,'NM O&amp;G Production'!$K$2:$O$2,0))</f>
        <v>11533</v>
      </c>
      <c r="DE371" s="127">
        <f>INDEX('NM O&amp;G Production'!$K$3:$O$537,MATCH($CY371,'NM O&amp;G Production'!$P$3:$P$537,0),MATCH(DE$2,'NM O&amp;G Production'!$K$2:$O$2,0))</f>
        <v>6096</v>
      </c>
      <c r="DF371" s="258">
        <f>CK371/(DB371+DA371)</f>
        <v>7496.9523809523807</v>
      </c>
      <c r="DG371" s="57">
        <f>DD371*(12/18)*1.06*'Oil and Gas Prices'!$C$18</f>
        <v>19478.468133333336</v>
      </c>
      <c r="DH371" s="284">
        <f>DE371*(12/18)*'Oil and Gas Prices'!$C$4</f>
        <v>182880</v>
      </c>
      <c r="DI371" s="284">
        <f>DG371+DH371</f>
        <v>202358.46813333334</v>
      </c>
      <c r="DJ371" s="57">
        <f>(DG371+DH371)/(DA371+DB371)</f>
        <v>9636.11753015873</v>
      </c>
      <c r="DK371" s="318"/>
    </row>
    <row r="372" spans="1:115" x14ac:dyDescent="0.25">
      <c r="A372" t="s">
        <v>2942</v>
      </c>
      <c r="B372" t="s">
        <v>2943</v>
      </c>
      <c r="C372" t="s">
        <v>2944</v>
      </c>
      <c r="D372" t="s">
        <v>153</v>
      </c>
      <c r="E372" t="s">
        <v>80</v>
      </c>
      <c r="F372">
        <v>79702</v>
      </c>
      <c r="G372" t="s">
        <v>62</v>
      </c>
      <c r="I372">
        <v>428</v>
      </c>
      <c r="J372" t="s">
        <v>63</v>
      </c>
      <c r="K372" t="s">
        <v>4133</v>
      </c>
      <c r="L372" t="s">
        <v>64</v>
      </c>
      <c r="M372">
        <v>10</v>
      </c>
      <c r="N372" t="s">
        <v>2945</v>
      </c>
      <c r="O372" t="s">
        <v>2946</v>
      </c>
      <c r="Q372" t="s">
        <v>2947</v>
      </c>
      <c r="R372" t="s">
        <v>153</v>
      </c>
      <c r="S372" t="s">
        <v>94</v>
      </c>
      <c r="T372" t="s">
        <v>2948</v>
      </c>
      <c r="U372" t="s">
        <v>62</v>
      </c>
      <c r="V372">
        <v>4322190740</v>
      </c>
      <c r="W372" s="1">
        <v>156008</v>
      </c>
      <c r="X372">
        <v>3</v>
      </c>
      <c r="Y372">
        <v>3</v>
      </c>
      <c r="Z372">
        <v>2015</v>
      </c>
      <c r="AA372" t="s">
        <v>70</v>
      </c>
      <c r="AB372" t="s">
        <v>2949</v>
      </c>
      <c r="AC372" t="s">
        <v>145</v>
      </c>
      <c r="AD372" t="s">
        <v>370</v>
      </c>
      <c r="AE372">
        <v>5983</v>
      </c>
      <c r="AF372" t="s">
        <v>371</v>
      </c>
      <c r="AI372">
        <v>59830000</v>
      </c>
      <c r="AJ372" t="s">
        <v>370</v>
      </c>
      <c r="AM372">
        <v>454310</v>
      </c>
      <c r="AN372" t="s">
        <v>193</v>
      </c>
      <c r="AQ372" t="s">
        <v>75</v>
      </c>
      <c r="AT372" t="s">
        <v>76</v>
      </c>
      <c r="BF372">
        <v>0</v>
      </c>
      <c r="BG372">
        <v>0</v>
      </c>
      <c r="CK372" s="19">
        <f>IF(BQ372&gt;0,BQ372,W372)</f>
        <v>156008</v>
      </c>
      <c r="CL372" s="20">
        <f>IF(BS372&gt;0,BS372,Y372)</f>
        <v>3</v>
      </c>
      <c r="CM372" s="34">
        <f>IF(CG372&gt;0,CG372,AM372)</f>
        <v>454310</v>
      </c>
      <c r="CN372" s="80">
        <f>IF($BH372="",1,COUNTIF($BH$3:$BH372,$BH372))</f>
        <v>1</v>
      </c>
      <c r="CP372" t="str">
        <f>IF($K372="Standard Match","Match",IF($K372="Name Only Match",IF($CO372="Yes","Match","Name Only Match"),"No Match"))</f>
        <v>Match</v>
      </c>
      <c r="CQ372" s="35" t="str">
        <f>IF(AND(CP372="Match",CK372&gt;0,CL372&gt;0),"Y","N")</f>
        <v>Y</v>
      </c>
      <c r="CS372" t="str">
        <f>IF($CQ372="Y",VLOOKUP($CM372,'SBA Size Standards'!$B$3:$G$57,MATCH('SBA Size Standards'!$G$3,'SBA Size Standards'!$B$3:$G$3,0),FALSE),"")</f>
        <v>Employment</v>
      </c>
      <c r="CT372" s="60" t="str">
        <f>IF(CQ372="Y",IF($CS372="Employment","N/A",VLOOKUP($CM372,'SBA Size Standards'!$B$3:$G$57,MATCH('SBA Size Standards'!$E$3,'SBA Size Standards'!$B$3:$G$3,0),FALSE)),"")</f>
        <v>N/A</v>
      </c>
      <c r="CU372" s="86">
        <f>IF($CQ372="Y",IF($CS372="Revenue","N/A",VLOOKUP($CM372,'SBA Size Standards'!$B$3:$G$57,MATCH('SBA Size Standards'!$F$3,'SBA Size Standards'!$B$3:$G$3,0),FALSE)),"")</f>
        <v>100</v>
      </c>
      <c r="CV372" t="str">
        <f>IF($CQ372="Y",IF(OR(AND($CS372="Employment",$CL372&lt;$CU372),AND($CS372="Revenue",$CK372&lt;$CT372)),"YES","NO"),"")</f>
        <v>YES</v>
      </c>
      <c r="CW372" s="90" t="str">
        <f>IF($CQ372="Y",INDEX('SBA Size Standards'!$N$3:$N$12,MATCH($CK372,'SBA Size Standards'!$O$3:$O$12,1)),"")</f>
        <v>$100,001 - $500,000</v>
      </c>
      <c r="CX372" s="122" t="s">
        <v>4739</v>
      </c>
      <c r="CY372" s="122">
        <f>INDEX('NM O&amp;G Production'!$P$3:$P$537,MATCH(CX372,'NM O&amp;G Production'!$Q$3:$Q$537,0))</f>
        <v>428</v>
      </c>
      <c r="CZ372" s="122" t="str">
        <f>INDEX('NM O&amp;G Production'!$O$3:$O$537,MATCH(CY372,'NM O&amp;G Production'!$P$3:$P$537,0))</f>
        <v>Yes</v>
      </c>
      <c r="DA372" s="127">
        <f>INDEX('NM O&amp;G Production'!$K$3:$O$537,MATCH($CY372,'NM O&amp;G Production'!$P$3:$P$537,0),MATCH(DA$2,'NM O&amp;G Production'!$K$2:$O$2,0))</f>
        <v>3</v>
      </c>
      <c r="DB372" s="127">
        <f>INDEX('NM O&amp;G Production'!$K$3:$O$537,MATCH($CY372,'NM O&amp;G Production'!$P$3:$P$537,0),MATCH(DB$2,'NM O&amp;G Production'!$K$2:$O$2,0))</f>
        <v>41</v>
      </c>
      <c r="DC372" s="127">
        <f>DA372+DB372</f>
        <v>44</v>
      </c>
      <c r="DD372" s="127">
        <f>INDEX('NM O&amp;G Production'!$K$3:$O$537,MATCH($CY372,'NM O&amp;G Production'!$P$3:$P$537,0),MATCH(DD$2,'NM O&amp;G Production'!$K$2:$O$2,0))</f>
        <v>0</v>
      </c>
      <c r="DE372" s="127">
        <f>INDEX('NM O&amp;G Production'!$K$3:$O$537,MATCH($CY372,'NM O&amp;G Production'!$P$3:$P$537,0),MATCH(DE$2,'NM O&amp;G Production'!$K$2:$O$2,0))</f>
        <v>27404</v>
      </c>
      <c r="DF372" s="258">
        <f>CK372/(DB372+DA372)</f>
        <v>3545.6363636363635</v>
      </c>
      <c r="DG372" s="57">
        <f>DD372*(12/18)*1.06*'Oil and Gas Prices'!$C$18</f>
        <v>0</v>
      </c>
      <c r="DH372" s="284">
        <f>DE372*(12/18)*'Oil and Gas Prices'!$C$4</f>
        <v>822120</v>
      </c>
      <c r="DI372" s="284">
        <f>DG372+DH372</f>
        <v>822120</v>
      </c>
      <c r="DJ372" s="57">
        <f>(DG372+DH372)/(DA372+DB372)</f>
        <v>18684.545454545456</v>
      </c>
      <c r="DK372" s="318"/>
    </row>
    <row r="373" spans="1:115" x14ac:dyDescent="0.25">
      <c r="A373" s="21" t="s">
        <v>1997</v>
      </c>
      <c r="B373" s="21" t="s">
        <v>1998</v>
      </c>
      <c r="C373" s="21"/>
      <c r="D373" s="21" t="s">
        <v>1999</v>
      </c>
      <c r="E373" s="21" t="s">
        <v>80</v>
      </c>
      <c r="F373">
        <v>79902</v>
      </c>
      <c r="G373" t="s">
        <v>62</v>
      </c>
      <c r="I373">
        <v>279</v>
      </c>
      <c r="J373" t="s">
        <v>63</v>
      </c>
      <c r="K373" t="s">
        <v>4134</v>
      </c>
      <c r="L373" t="s">
        <v>3627</v>
      </c>
      <c r="M373">
        <v>8</v>
      </c>
      <c r="N373" t="s">
        <v>4072</v>
      </c>
      <c r="O373" s="21" t="s">
        <v>4073</v>
      </c>
      <c r="P373" s="21"/>
      <c r="Q373" s="21" t="s">
        <v>4074</v>
      </c>
      <c r="R373" s="21" t="s">
        <v>585</v>
      </c>
      <c r="S373" s="21" t="s">
        <v>188</v>
      </c>
      <c r="T373" t="s">
        <v>4075</v>
      </c>
      <c r="U373" t="s">
        <v>62</v>
      </c>
      <c r="V373">
        <v>4054633355</v>
      </c>
      <c r="W373" s="23">
        <v>150930</v>
      </c>
      <c r="X373" s="21">
        <v>2</v>
      </c>
      <c r="Y373" s="21">
        <v>2</v>
      </c>
      <c r="Z373">
        <v>2008</v>
      </c>
      <c r="AA373" s="21" t="s">
        <v>70</v>
      </c>
      <c r="AD373" s="21" t="s">
        <v>71</v>
      </c>
      <c r="AE373">
        <v>1389</v>
      </c>
      <c r="AF373" t="s">
        <v>72</v>
      </c>
      <c r="AI373">
        <v>13890100</v>
      </c>
      <c r="AJ373" t="s">
        <v>412</v>
      </c>
      <c r="AM373" s="21">
        <v>237120</v>
      </c>
      <c r="AN373" s="21" t="s">
        <v>413</v>
      </c>
      <c r="AO373" s="21"/>
      <c r="AP373" s="21"/>
      <c r="AQ373" s="21" t="s">
        <v>75</v>
      </c>
      <c r="AT373" t="s">
        <v>76</v>
      </c>
      <c r="BF373">
        <v>0</v>
      </c>
      <c r="BG373" s="24">
        <v>0</v>
      </c>
      <c r="BH373" s="24"/>
      <c r="BI373" s="24"/>
      <c r="BJ373" s="24"/>
      <c r="BK373" s="24"/>
      <c r="BL373" s="24"/>
      <c r="BM373" s="24"/>
      <c r="BN373" s="24"/>
      <c r="BO373" s="24"/>
      <c r="BQ373" s="24"/>
      <c r="BR373" s="24"/>
      <c r="BS373" s="24"/>
      <c r="BU373" s="24"/>
      <c r="BX373" s="24"/>
      <c r="CG373" s="24"/>
      <c r="CH373" s="24"/>
      <c r="CI373" s="24"/>
      <c r="CJ373" s="24"/>
      <c r="CK373" s="19">
        <f>IF(BQ373&gt;0,BQ373,W373)</f>
        <v>150930</v>
      </c>
      <c r="CL373" s="20">
        <f>IF(BS373&gt;0,BS373,Y373)</f>
        <v>2</v>
      </c>
      <c r="CM373" s="34">
        <f>IF(CG373&gt;0,CG373,AM373)</f>
        <v>237120</v>
      </c>
      <c r="CN373" s="80">
        <f>IF($BH373="",1,COUNTIF($BH$3:$BH373,$BH373))</f>
        <v>1</v>
      </c>
      <c r="CO373" s="33" t="s">
        <v>4386</v>
      </c>
      <c r="CP373" t="str">
        <f>IF($K373="Standard Match","Match",IF($K373="Name Only Match",IF($CO373="Yes","Match","Name Only Match"),"No Match"))</f>
        <v>Match</v>
      </c>
      <c r="CQ373" s="35" t="str">
        <f>IF(AND(CP373="Match",CK373&gt;0,CL373&gt;0),"Y","N")</f>
        <v>Y</v>
      </c>
      <c r="CR373" s="21"/>
      <c r="CS373" t="str">
        <f>IF($CQ373="Y",VLOOKUP($CM373,'SBA Size Standards'!$B$3:$G$57,MATCH('SBA Size Standards'!$G$3,'SBA Size Standards'!$B$3:$G$3,0),FALSE),"")</f>
        <v>Revenue</v>
      </c>
      <c r="CT373" s="60">
        <f>IF(CQ373="Y",IF($CS373="Employment","N/A",VLOOKUP($CM373,'SBA Size Standards'!$B$3:$G$57,MATCH('SBA Size Standards'!$E$3,'SBA Size Standards'!$B$3:$G$3,0),FALSE)),"")</f>
        <v>39500000</v>
      </c>
      <c r="CU373" s="86" t="str">
        <f>IF($CQ373="Y",IF($CS373="Revenue","N/A",VLOOKUP($CM373,'SBA Size Standards'!$B$3:$G$57,MATCH('SBA Size Standards'!$F$3,'SBA Size Standards'!$B$3:$G$3,0),FALSE)),"")</f>
        <v>N/A</v>
      </c>
      <c r="CV373" t="str">
        <f>IF($CQ373="Y",IF(OR(AND($CS373="Employment",$CL373&lt;$CU373),AND($CS373="Revenue",$CK373&lt;$CT373)),"YES","NO"),"")</f>
        <v>YES</v>
      </c>
      <c r="CW373" s="90" t="str">
        <f>IF($CQ373="Y",INDEX('SBA Size Standards'!$N$3:$N$12,MATCH($CK373,'SBA Size Standards'!$O$3:$O$12,1)),"")</f>
        <v>$100,001 - $500,000</v>
      </c>
      <c r="CX373" s="122" t="s">
        <v>4974</v>
      </c>
      <c r="CY373" s="122">
        <f>INDEX('NM O&amp;G Production'!$P$3:$P$537,MATCH(CX373,'NM O&amp;G Production'!$Q$3:$Q$537,0))</f>
        <v>279</v>
      </c>
      <c r="CZ373" s="122" t="str">
        <f>INDEX('NM O&amp;G Production'!$O$3:$O$537,MATCH(CY373,'NM O&amp;G Production'!$P$3:$P$537,0))</f>
        <v>Yes</v>
      </c>
      <c r="DA373" s="127">
        <f>INDEX('NM O&amp;G Production'!$K$3:$O$537,MATCH($CY373,'NM O&amp;G Production'!$P$3:$P$537,0),MATCH(DA$2,'NM O&amp;G Production'!$K$2:$O$2,0))</f>
        <v>0</v>
      </c>
      <c r="DB373" s="127">
        <f>INDEX('NM O&amp;G Production'!$K$3:$O$537,MATCH($CY373,'NM O&amp;G Production'!$P$3:$P$537,0),MATCH(DB$2,'NM O&amp;G Production'!$K$2:$O$2,0))</f>
        <v>3</v>
      </c>
      <c r="DC373" s="127">
        <f>DA373+DB373</f>
        <v>3</v>
      </c>
      <c r="DD373" s="127">
        <f>INDEX('NM O&amp;G Production'!$K$3:$O$537,MATCH($CY373,'NM O&amp;G Production'!$P$3:$P$537,0),MATCH(DD$2,'NM O&amp;G Production'!$K$2:$O$2,0))</f>
        <v>0</v>
      </c>
      <c r="DE373" s="127">
        <f>INDEX('NM O&amp;G Production'!$K$3:$O$537,MATCH($CY373,'NM O&amp;G Production'!$P$3:$P$537,0),MATCH(DE$2,'NM O&amp;G Production'!$K$2:$O$2,0))</f>
        <v>2012</v>
      </c>
      <c r="DF373" s="258">
        <f>CK373/(DB373+DA373)</f>
        <v>50310</v>
      </c>
      <c r="DG373" s="57">
        <f>DD373*(12/18)*1.06*'Oil and Gas Prices'!$C$18</f>
        <v>0</v>
      </c>
      <c r="DH373" s="284">
        <f>DE373*(12/18)*'Oil and Gas Prices'!$C$4</f>
        <v>60360</v>
      </c>
      <c r="DI373" s="284">
        <f>DG373+DH373</f>
        <v>60360</v>
      </c>
      <c r="DJ373" s="57">
        <f>(DG373+DH373)/(DA373+DB373)</f>
        <v>20120</v>
      </c>
      <c r="DK373" s="318"/>
    </row>
    <row r="374" spans="1:115" x14ac:dyDescent="0.25">
      <c r="A374" t="s">
        <v>1678</v>
      </c>
      <c r="B374" t="s">
        <v>1679</v>
      </c>
      <c r="D374" t="s">
        <v>83</v>
      </c>
      <c r="E374" t="s">
        <v>84</v>
      </c>
      <c r="F374">
        <v>88210</v>
      </c>
      <c r="G374" t="s">
        <v>62</v>
      </c>
      <c r="I374">
        <v>229</v>
      </c>
      <c r="J374" t="s">
        <v>63</v>
      </c>
      <c r="K374" t="s">
        <v>4133</v>
      </c>
      <c r="L374" t="s">
        <v>64</v>
      </c>
      <c r="M374">
        <v>10</v>
      </c>
      <c r="N374" t="s">
        <v>1680</v>
      </c>
      <c r="O374" t="s">
        <v>1681</v>
      </c>
      <c r="Q374" t="s">
        <v>1682</v>
      </c>
      <c r="R374" t="s">
        <v>83</v>
      </c>
      <c r="S374" t="s">
        <v>214</v>
      </c>
      <c r="T374" t="s">
        <v>1683</v>
      </c>
      <c r="U374" t="s">
        <v>62</v>
      </c>
      <c r="V374">
        <v>5757482854</v>
      </c>
      <c r="W374" s="1">
        <v>150000</v>
      </c>
      <c r="X374">
        <v>1</v>
      </c>
      <c r="Y374">
        <v>1</v>
      </c>
      <c r="Z374">
        <v>1997</v>
      </c>
      <c r="AA374" t="s">
        <v>70</v>
      </c>
      <c r="AB374" t="s">
        <v>1684</v>
      </c>
      <c r="AC374" t="s">
        <v>145</v>
      </c>
      <c r="AD374" t="s">
        <v>1320</v>
      </c>
      <c r="AE374">
        <v>2911</v>
      </c>
      <c r="AF374" t="s">
        <v>774</v>
      </c>
      <c r="AI374">
        <v>29110303</v>
      </c>
      <c r="AJ374" t="s">
        <v>1685</v>
      </c>
      <c r="AM374">
        <v>324110</v>
      </c>
      <c r="AN374" t="s">
        <v>776</v>
      </c>
      <c r="AQ374" t="s">
        <v>75</v>
      </c>
      <c r="AT374" t="s">
        <v>76</v>
      </c>
      <c r="BF374">
        <v>0</v>
      </c>
      <c r="BG374">
        <v>0</v>
      </c>
      <c r="CK374" s="19">
        <f>IF(BQ374&gt;0,BQ374,W374)</f>
        <v>150000</v>
      </c>
      <c r="CL374" s="20">
        <f>IF(BS374&gt;0,BS374,Y374)</f>
        <v>1</v>
      </c>
      <c r="CM374" s="34">
        <f>IF(CG374&gt;0,CG374,AM374)</f>
        <v>324110</v>
      </c>
      <c r="CN374" s="80">
        <f>IF($BH374="",1,COUNTIF($BH$3:$BH374,$BH374))</f>
        <v>1</v>
      </c>
      <c r="CP374" t="str">
        <f>IF($K374="Standard Match","Match",IF($K374="Name Only Match",IF($CO374="Yes","Match","Name Only Match"),"No Match"))</f>
        <v>Match</v>
      </c>
      <c r="CQ374" s="35" t="str">
        <f>IF(AND(CP374="Match",CK374&gt;0,CL374&gt;0),"Y","N")</f>
        <v>Y</v>
      </c>
      <c r="CS374" t="str">
        <f>IF($CQ374="Y",VLOOKUP($CM374,'SBA Size Standards'!$B$3:$G$57,MATCH('SBA Size Standards'!$G$3,'SBA Size Standards'!$B$3:$G$3,0),FALSE),"")</f>
        <v>Employment</v>
      </c>
      <c r="CT374" s="60" t="str">
        <f>IF(CQ374="Y",IF($CS374="Employment","N/A",VLOOKUP($CM374,'SBA Size Standards'!$B$3:$G$57,MATCH('SBA Size Standards'!$E$3,'SBA Size Standards'!$B$3:$G$3,0),FALSE)),"")</f>
        <v>N/A</v>
      </c>
      <c r="CU374" s="86">
        <f>IF($CQ374="Y",IF($CS374="Revenue","N/A",VLOOKUP($CM374,'SBA Size Standards'!$B$3:$G$57,MATCH('SBA Size Standards'!$F$3,'SBA Size Standards'!$B$3:$G$3,0),FALSE)),"")</f>
        <v>1500</v>
      </c>
      <c r="CV374" t="str">
        <f>IF($CQ374="Y",IF(OR(AND($CS374="Employment",$CL374&lt;$CU374),AND($CS374="Revenue",$CK374&lt;$CT374)),"YES","NO"),"")</f>
        <v>YES</v>
      </c>
      <c r="CW374" s="90" t="str">
        <f>IF($CQ374="Y",INDEX('SBA Size Standards'!$N$3:$N$12,MATCH($CK374,'SBA Size Standards'!$O$3:$O$12,1)),"")</f>
        <v>$100,001 - $500,000</v>
      </c>
      <c r="CX374" s="122" t="s">
        <v>4644</v>
      </c>
      <c r="CY374" s="122">
        <f>INDEX('NM O&amp;G Production'!$P$3:$P$537,MATCH(CX374,'NM O&amp;G Production'!$Q$3:$Q$537,0))</f>
        <v>229</v>
      </c>
      <c r="CZ374" s="122" t="str">
        <f>INDEX('NM O&amp;G Production'!$O$3:$O$537,MATCH(CY374,'NM O&amp;G Production'!$P$3:$P$537,0))</f>
        <v>Yes</v>
      </c>
      <c r="DA374" s="127">
        <f>INDEX('NM O&amp;G Production'!$K$3:$O$537,MATCH($CY374,'NM O&amp;G Production'!$P$3:$P$537,0),MATCH(DA$2,'NM O&amp;G Production'!$K$2:$O$2,0))</f>
        <v>1</v>
      </c>
      <c r="DB374" s="127">
        <f>INDEX('NM O&amp;G Production'!$K$3:$O$537,MATCH($CY374,'NM O&amp;G Production'!$P$3:$P$537,0),MATCH(DB$2,'NM O&amp;G Production'!$K$2:$O$2,0))</f>
        <v>12</v>
      </c>
      <c r="DC374" s="127">
        <f>DA374+DB374</f>
        <v>13</v>
      </c>
      <c r="DD374" s="127">
        <f>INDEX('NM O&amp;G Production'!$K$3:$O$537,MATCH($CY374,'NM O&amp;G Production'!$P$3:$P$537,0),MATCH(DD$2,'NM O&amp;G Production'!$K$2:$O$2,0))</f>
        <v>44115</v>
      </c>
      <c r="DE374" s="127">
        <f>INDEX('NM O&amp;G Production'!$K$3:$O$537,MATCH($CY374,'NM O&amp;G Production'!$P$3:$P$537,0),MATCH(DE$2,'NM O&amp;G Production'!$K$2:$O$2,0))</f>
        <v>3874</v>
      </c>
      <c r="DF374" s="258">
        <f>CK374/(DB374+DA374)</f>
        <v>11538.461538461539</v>
      </c>
      <c r="DG374" s="57">
        <f>DD374*(12/18)*1.06*'Oil and Gas Prices'!$C$18</f>
        <v>74507.294000000009</v>
      </c>
      <c r="DH374" s="284">
        <f>DE374*(12/18)*'Oil and Gas Prices'!$C$4</f>
        <v>116220</v>
      </c>
      <c r="DI374" s="284">
        <f>DG374+DH374</f>
        <v>190727.29399999999</v>
      </c>
      <c r="DJ374" s="57">
        <f>(DG374+DH374)/(DA374+DB374)</f>
        <v>14671.330307692308</v>
      </c>
      <c r="DK374" s="318"/>
    </row>
    <row r="375" spans="1:115" x14ac:dyDescent="0.25">
      <c r="A375" t="s">
        <v>574</v>
      </c>
      <c r="B375" t="s">
        <v>477</v>
      </c>
      <c r="D375" t="s">
        <v>83</v>
      </c>
      <c r="E375" t="s">
        <v>84</v>
      </c>
      <c r="F375">
        <v>88210</v>
      </c>
      <c r="G375" t="s">
        <v>62</v>
      </c>
      <c r="I375">
        <v>71</v>
      </c>
      <c r="J375" t="s">
        <v>89</v>
      </c>
      <c r="K375" t="s">
        <v>4133</v>
      </c>
      <c r="L375" t="s">
        <v>279</v>
      </c>
      <c r="M375">
        <v>8</v>
      </c>
      <c r="N375" t="s">
        <v>575</v>
      </c>
      <c r="O375" t="s">
        <v>576</v>
      </c>
      <c r="P375" t="s">
        <v>577</v>
      </c>
      <c r="R375" t="s">
        <v>83</v>
      </c>
      <c r="S375" t="s">
        <v>214</v>
      </c>
      <c r="T375">
        <v>88211</v>
      </c>
      <c r="U375" t="s">
        <v>62</v>
      </c>
      <c r="V375">
        <v>5757464787</v>
      </c>
      <c r="W375" s="1">
        <v>150000</v>
      </c>
      <c r="X375">
        <v>4</v>
      </c>
      <c r="Y375">
        <v>4</v>
      </c>
      <c r="Z375">
        <v>1995</v>
      </c>
      <c r="AA375" t="s">
        <v>70</v>
      </c>
      <c r="AB375" t="s">
        <v>578</v>
      </c>
      <c r="AC375" t="s">
        <v>483</v>
      </c>
      <c r="AD375" t="s">
        <v>579</v>
      </c>
      <c r="AE375">
        <v>5411</v>
      </c>
      <c r="AF375" t="s">
        <v>580</v>
      </c>
      <c r="AG375">
        <v>5541</v>
      </c>
      <c r="AH375" t="s">
        <v>254</v>
      </c>
      <c r="AI375">
        <v>54110000</v>
      </c>
      <c r="AJ375" t="s">
        <v>581</v>
      </c>
      <c r="AK375">
        <v>55410000</v>
      </c>
      <c r="AL375" t="s">
        <v>253</v>
      </c>
      <c r="AM375">
        <v>445110</v>
      </c>
      <c r="AN375" t="s">
        <v>582</v>
      </c>
      <c r="AO375">
        <v>447190</v>
      </c>
      <c r="AP375" t="s">
        <v>256</v>
      </c>
      <c r="AQ375" t="s">
        <v>75</v>
      </c>
      <c r="AT375" t="s">
        <v>76</v>
      </c>
      <c r="BF375">
        <v>0</v>
      </c>
      <c r="BG375">
        <v>0</v>
      </c>
      <c r="CK375" s="19">
        <f>IF(BQ375&gt;0,BQ375,W375)</f>
        <v>150000</v>
      </c>
      <c r="CL375" s="20">
        <f>IF(BS375&gt;0,BS375,Y375)</f>
        <v>4</v>
      </c>
      <c r="CM375" s="34">
        <f>IF(CG375&gt;0,CG375,AM375)</f>
        <v>445110</v>
      </c>
      <c r="CN375" s="80">
        <f>IF($BH375="",1,COUNTIF($BH$3:$BH375,$BH375))</f>
        <v>1</v>
      </c>
      <c r="CP375" t="str">
        <f>IF($K375="Standard Match","Match",IF($K375="Name Only Match",IF($CO375="Yes","Match","Name Only Match"),"No Match"))</f>
        <v>Match</v>
      </c>
      <c r="CQ375" s="35" t="str">
        <f>IF(AND(CP375="Match",CK375&gt;0,CL375&gt;0),"Y","N")</f>
        <v>Y</v>
      </c>
      <c r="CS375" t="str">
        <f>IF($CQ375="Y",VLOOKUP($CM375,'SBA Size Standards'!$B$3:$G$57,MATCH('SBA Size Standards'!$G$3,'SBA Size Standards'!$B$3:$G$3,0),FALSE),"")</f>
        <v>Revenue</v>
      </c>
      <c r="CT375" s="60">
        <f>IF(CQ375="Y",IF($CS375="Employment","N/A",VLOOKUP($CM375,'SBA Size Standards'!$B$3:$G$57,MATCH('SBA Size Standards'!$E$3,'SBA Size Standards'!$B$3:$G$3,0),FALSE)),"")</f>
        <v>35000000</v>
      </c>
      <c r="CU375" s="86" t="str">
        <f>IF($CQ375="Y",IF($CS375="Revenue","N/A",VLOOKUP($CM375,'SBA Size Standards'!$B$3:$G$57,MATCH('SBA Size Standards'!$F$3,'SBA Size Standards'!$B$3:$G$3,0),FALSE)),"")</f>
        <v>N/A</v>
      </c>
      <c r="CV375" t="str">
        <f>IF($CQ375="Y",IF(OR(AND($CS375="Employment",$CL375&lt;$CU375),AND($CS375="Revenue",$CK375&lt;$CT375)),"YES","NO"),"")</f>
        <v>YES</v>
      </c>
      <c r="CW375" s="90" t="str">
        <f>IF($CQ375="Y",INDEX('SBA Size Standards'!$N$3:$N$12,MATCH($CK375,'SBA Size Standards'!$O$3:$O$12,1)),"")</f>
        <v>$100,001 - $500,000</v>
      </c>
      <c r="CX375" s="122" t="s">
        <v>4814</v>
      </c>
      <c r="CY375" s="122">
        <f>INDEX('NM O&amp;G Production'!$P$3:$P$537,MATCH(CX375,'NM O&amp;G Production'!$Q$3:$Q$537,0))</f>
        <v>71</v>
      </c>
      <c r="CZ375" s="122" t="str">
        <f>INDEX('NM O&amp;G Production'!$O$3:$O$537,MATCH(CY375,'NM O&amp;G Production'!$P$3:$P$537,0))</f>
        <v>Yes</v>
      </c>
      <c r="DA375" s="127">
        <f>INDEX('NM O&amp;G Production'!$K$3:$O$537,MATCH($CY375,'NM O&amp;G Production'!$P$3:$P$537,0),MATCH(DA$2,'NM O&amp;G Production'!$K$2:$O$2,0))</f>
        <v>0</v>
      </c>
      <c r="DB375" s="127">
        <f>INDEX('NM O&amp;G Production'!$K$3:$O$537,MATCH($CY375,'NM O&amp;G Production'!$P$3:$P$537,0),MATCH(DB$2,'NM O&amp;G Production'!$K$2:$O$2,0))</f>
        <v>95</v>
      </c>
      <c r="DC375" s="127">
        <f>DA375+DB375</f>
        <v>95</v>
      </c>
      <c r="DD375" s="127">
        <f>INDEX('NM O&amp;G Production'!$K$3:$O$537,MATCH($CY375,'NM O&amp;G Production'!$P$3:$P$537,0),MATCH(DD$2,'NM O&amp;G Production'!$K$2:$O$2,0))</f>
        <v>0</v>
      </c>
      <c r="DE375" s="127">
        <f>INDEX('NM O&amp;G Production'!$K$3:$O$537,MATCH($CY375,'NM O&amp;G Production'!$P$3:$P$537,0),MATCH(DE$2,'NM O&amp;G Production'!$K$2:$O$2,0))</f>
        <v>13105</v>
      </c>
      <c r="DF375" s="258">
        <f>CK375/(DB375+DA375)</f>
        <v>1578.9473684210527</v>
      </c>
      <c r="DG375" s="57">
        <f>DD375*(12/18)*1.06*'Oil and Gas Prices'!$C$18</f>
        <v>0</v>
      </c>
      <c r="DH375" s="284">
        <f>DE375*(12/18)*'Oil and Gas Prices'!$C$4</f>
        <v>393150</v>
      </c>
      <c r="DI375" s="284">
        <f>DG375+DH375</f>
        <v>393150</v>
      </c>
      <c r="DJ375" s="57">
        <f>(DG375+DH375)/(DA375+DB375)</f>
        <v>4138.4210526315792</v>
      </c>
      <c r="DK375" s="318"/>
    </row>
    <row r="376" spans="1:115" x14ac:dyDescent="0.25">
      <c r="A376" t="s">
        <v>2899</v>
      </c>
      <c r="B376" t="s">
        <v>2900</v>
      </c>
      <c r="D376" t="s">
        <v>1265</v>
      </c>
      <c r="E376" t="s">
        <v>84</v>
      </c>
      <c r="F376">
        <v>88260</v>
      </c>
      <c r="G376" t="s">
        <v>62</v>
      </c>
      <c r="I376">
        <v>422</v>
      </c>
      <c r="J376" t="s">
        <v>404</v>
      </c>
      <c r="K376" t="s">
        <v>4133</v>
      </c>
      <c r="L376" t="s">
        <v>419</v>
      </c>
      <c r="M376">
        <v>8</v>
      </c>
      <c r="N376" t="s">
        <v>2901</v>
      </c>
      <c r="O376" t="s">
        <v>2902</v>
      </c>
      <c r="P376" t="s">
        <v>2903</v>
      </c>
      <c r="Q376" t="s">
        <v>2904</v>
      </c>
      <c r="R376" t="s">
        <v>1265</v>
      </c>
      <c r="S376" t="s">
        <v>214</v>
      </c>
      <c r="T376" t="s">
        <v>2905</v>
      </c>
      <c r="U376" t="s">
        <v>62</v>
      </c>
      <c r="V376">
        <v>5053966769</v>
      </c>
      <c r="W376" s="1">
        <v>150000</v>
      </c>
      <c r="X376">
        <v>3</v>
      </c>
      <c r="Y376">
        <v>3</v>
      </c>
      <c r="AA376" t="s">
        <v>70</v>
      </c>
      <c r="AB376" t="s">
        <v>2906</v>
      </c>
      <c r="AC376" t="s">
        <v>483</v>
      </c>
      <c r="AD376" t="s">
        <v>119</v>
      </c>
      <c r="AE376">
        <v>1382</v>
      </c>
      <c r="AF376" t="s">
        <v>120</v>
      </c>
      <c r="AI376">
        <v>13820000</v>
      </c>
      <c r="AJ376" t="s">
        <v>119</v>
      </c>
      <c r="AM376">
        <v>213112</v>
      </c>
      <c r="AN376" t="s">
        <v>74</v>
      </c>
      <c r="AQ376" t="s">
        <v>75</v>
      </c>
      <c r="AT376" t="s">
        <v>76</v>
      </c>
      <c r="BF376">
        <v>0</v>
      </c>
      <c r="BG376">
        <v>0</v>
      </c>
      <c r="CK376" s="19">
        <f>IF(BQ376&gt;0,BQ376,W376)</f>
        <v>150000</v>
      </c>
      <c r="CL376" s="20">
        <f>IF(BS376&gt;0,BS376,Y376)</f>
        <v>3</v>
      </c>
      <c r="CM376" s="34">
        <f>IF(CG376&gt;0,CG376,AM376)</f>
        <v>213112</v>
      </c>
      <c r="CN376" s="80">
        <f>IF($BH376="",1,COUNTIF($BH$3:$BH376,$BH376))</f>
        <v>1</v>
      </c>
      <c r="CP376" t="str">
        <f>IF($K376="Standard Match","Match",IF($K376="Name Only Match",IF($CO376="Yes","Match","Name Only Match"),"No Match"))</f>
        <v>Match</v>
      </c>
      <c r="CQ376" s="35" t="str">
        <f>IF(AND(CP376="Match",CK376&gt;0,CL376&gt;0),"Y","N")</f>
        <v>Y</v>
      </c>
      <c r="CS376" t="str">
        <f>IF($CQ376="Y",VLOOKUP($CM376,'SBA Size Standards'!$B$3:$G$57,MATCH('SBA Size Standards'!$G$3,'SBA Size Standards'!$B$3:$G$3,0),FALSE),"")</f>
        <v>Revenue</v>
      </c>
      <c r="CT376" s="60">
        <f>IF(CQ376="Y",IF($CS376="Employment","N/A",VLOOKUP($CM376,'SBA Size Standards'!$B$3:$G$57,MATCH('SBA Size Standards'!$E$3,'SBA Size Standards'!$B$3:$G$3,0),FALSE)),"")</f>
        <v>41500000</v>
      </c>
      <c r="CU376" s="86" t="str">
        <f>IF($CQ376="Y",IF($CS376="Revenue","N/A",VLOOKUP($CM376,'SBA Size Standards'!$B$3:$G$57,MATCH('SBA Size Standards'!$F$3,'SBA Size Standards'!$B$3:$G$3,0),FALSE)),"")</f>
        <v>N/A</v>
      </c>
      <c r="CV376" t="str">
        <f>IF($CQ376="Y",IF(OR(AND($CS376="Employment",$CL376&lt;$CU376),AND($CS376="Revenue",$CK376&lt;$CT376)),"YES","NO"),"")</f>
        <v>YES</v>
      </c>
      <c r="CW376" s="90" t="str">
        <f>IF($CQ376="Y",INDEX('SBA Size Standards'!$N$3:$N$12,MATCH($CK376,'SBA Size Standards'!$O$3:$O$12,1)),"")</f>
        <v>$100,001 - $500,000</v>
      </c>
      <c r="CX376" s="122" t="s">
        <v>4898</v>
      </c>
      <c r="CY376" s="122">
        <f>INDEX('NM O&amp;G Production'!$P$3:$P$537,MATCH(CX376,'NM O&amp;G Production'!$Q$3:$Q$537,0))</f>
        <v>422</v>
      </c>
      <c r="CZ376" s="122" t="str">
        <f>INDEX('NM O&amp;G Production'!$O$3:$O$537,MATCH(CY376,'NM O&amp;G Production'!$P$3:$P$537,0))</f>
        <v>Yes</v>
      </c>
      <c r="DA376" s="127">
        <f>INDEX('NM O&amp;G Production'!$K$3:$O$537,MATCH($CY376,'NM O&amp;G Production'!$P$3:$P$537,0),MATCH(DA$2,'NM O&amp;G Production'!$K$2:$O$2,0))</f>
        <v>0</v>
      </c>
      <c r="DB376" s="127">
        <f>INDEX('NM O&amp;G Production'!$K$3:$O$537,MATCH($CY376,'NM O&amp;G Production'!$P$3:$P$537,0),MATCH(DB$2,'NM O&amp;G Production'!$K$2:$O$2,0))</f>
        <v>34</v>
      </c>
      <c r="DC376" s="127">
        <f>DA376+DB376</f>
        <v>34</v>
      </c>
      <c r="DD376" s="127">
        <f>INDEX('NM O&amp;G Production'!$K$3:$O$537,MATCH($CY376,'NM O&amp;G Production'!$P$3:$P$537,0),MATCH(DD$2,'NM O&amp;G Production'!$K$2:$O$2,0))</f>
        <v>0</v>
      </c>
      <c r="DE376" s="127">
        <f>INDEX('NM O&amp;G Production'!$K$3:$O$537,MATCH($CY376,'NM O&amp;G Production'!$P$3:$P$537,0),MATCH(DE$2,'NM O&amp;G Production'!$K$2:$O$2,0))</f>
        <v>2668</v>
      </c>
      <c r="DF376" s="258">
        <f>CK376/(DB376+DA376)</f>
        <v>4411.7647058823532</v>
      </c>
      <c r="DG376" s="57">
        <f>DD376*(12/18)*1.06*'Oil and Gas Prices'!$C$18</f>
        <v>0</v>
      </c>
      <c r="DH376" s="284">
        <f>DE376*(12/18)*'Oil and Gas Prices'!$C$4</f>
        <v>80040</v>
      </c>
      <c r="DI376" s="284">
        <f>DG376+DH376</f>
        <v>80040</v>
      </c>
      <c r="DJ376" s="57">
        <f>(DG376+DH376)/(DA376+DB376)</f>
        <v>2354.1176470588234</v>
      </c>
      <c r="DK376" s="318"/>
    </row>
    <row r="377" spans="1:115" x14ac:dyDescent="0.25">
      <c r="A377" t="s">
        <v>2503</v>
      </c>
      <c r="B377" t="s">
        <v>2504</v>
      </c>
      <c r="D377" t="s">
        <v>513</v>
      </c>
      <c r="E377" t="s">
        <v>84</v>
      </c>
      <c r="F377">
        <v>88231</v>
      </c>
      <c r="G377" t="s">
        <v>62</v>
      </c>
      <c r="I377">
        <v>359</v>
      </c>
      <c r="J377" t="s">
        <v>63</v>
      </c>
      <c r="K377" t="s">
        <v>4133</v>
      </c>
      <c r="L377" t="s">
        <v>279</v>
      </c>
      <c r="M377">
        <v>8</v>
      </c>
      <c r="N377" t="s">
        <v>2505</v>
      </c>
      <c r="O377" t="s">
        <v>2506</v>
      </c>
      <c r="P377" t="s">
        <v>2507</v>
      </c>
      <c r="Q377" t="s">
        <v>2508</v>
      </c>
      <c r="R377" t="s">
        <v>513</v>
      </c>
      <c r="S377" t="s">
        <v>214</v>
      </c>
      <c r="T377" t="s">
        <v>2509</v>
      </c>
      <c r="U377" t="s">
        <v>62</v>
      </c>
      <c r="V377">
        <v>5753943205</v>
      </c>
      <c r="W377" s="1">
        <v>149204</v>
      </c>
      <c r="X377">
        <v>1</v>
      </c>
      <c r="Y377">
        <v>1</v>
      </c>
      <c r="Z377">
        <v>1948</v>
      </c>
      <c r="AA377" t="s">
        <v>70</v>
      </c>
      <c r="AB377" t="s">
        <v>2510</v>
      </c>
      <c r="AC377" t="s">
        <v>145</v>
      </c>
      <c r="AD377" t="s">
        <v>99</v>
      </c>
      <c r="AE377">
        <v>1311</v>
      </c>
      <c r="AF377" t="s">
        <v>100</v>
      </c>
      <c r="AI377">
        <v>13110000</v>
      </c>
      <c r="AJ377" t="s">
        <v>276</v>
      </c>
      <c r="AM377">
        <v>211120</v>
      </c>
      <c r="AN377" t="s">
        <v>104</v>
      </c>
      <c r="AQ377" t="s">
        <v>75</v>
      </c>
      <c r="AT377" t="s">
        <v>76</v>
      </c>
      <c r="BF377">
        <v>0</v>
      </c>
      <c r="BG377">
        <v>0</v>
      </c>
      <c r="CK377" s="19">
        <f>IF(BQ377&gt;0,BQ377,W377)</f>
        <v>149204</v>
      </c>
      <c r="CL377" s="20">
        <f>IF(BS377&gt;0,BS377,Y377)</f>
        <v>1</v>
      </c>
      <c r="CM377" s="34">
        <f>IF(CG377&gt;0,CG377,AM377)</f>
        <v>211120</v>
      </c>
      <c r="CN377" s="80">
        <f>IF($BH377="",1,COUNTIF($BH$3:$BH377,$BH377))</f>
        <v>1</v>
      </c>
      <c r="CP377" t="str">
        <f>IF($K377="Standard Match","Match",IF($K377="Name Only Match",IF($CO377="Yes","Match","Name Only Match"),"No Match"))</f>
        <v>Match</v>
      </c>
      <c r="CQ377" s="35" t="str">
        <f>IF(AND(CP377="Match",CK377&gt;0,CL377&gt;0),"Y","N")</f>
        <v>Y</v>
      </c>
      <c r="CS377" t="str">
        <f>IF($CQ377="Y",VLOOKUP($CM377,'SBA Size Standards'!$B$3:$G$57,MATCH('SBA Size Standards'!$G$3,'SBA Size Standards'!$B$3:$G$3,0),FALSE),"")</f>
        <v>Employment</v>
      </c>
      <c r="CT377" s="60" t="str">
        <f>IF(CQ377="Y",IF($CS377="Employment","N/A",VLOOKUP($CM377,'SBA Size Standards'!$B$3:$G$57,MATCH('SBA Size Standards'!$E$3,'SBA Size Standards'!$B$3:$G$3,0),FALSE)),"")</f>
        <v>N/A</v>
      </c>
      <c r="CU377" s="86">
        <f>IF($CQ377="Y",IF($CS377="Revenue","N/A",VLOOKUP($CM377,'SBA Size Standards'!$B$3:$G$57,MATCH('SBA Size Standards'!$F$3,'SBA Size Standards'!$B$3:$G$3,0),FALSE)),"")</f>
        <v>1250</v>
      </c>
      <c r="CV377" t="str">
        <f>IF($CQ377="Y",IF(OR(AND($CS377="Employment",$CL377&lt;$CU377),AND($CS377="Revenue",$CK377&lt;$CT377)),"YES","NO"),"")</f>
        <v>YES</v>
      </c>
      <c r="CW377" s="90" t="str">
        <f>IF($CQ377="Y",INDEX('SBA Size Standards'!$N$3:$N$12,MATCH($CK377,'SBA Size Standards'!$O$3:$O$12,1)),"")</f>
        <v>$100,001 - $500,000</v>
      </c>
      <c r="CX377" s="122" t="s">
        <v>4886</v>
      </c>
      <c r="CY377" s="122">
        <f>INDEX('NM O&amp;G Production'!$P$3:$P$537,MATCH(CX377,'NM O&amp;G Production'!$Q$3:$Q$537,0))</f>
        <v>359</v>
      </c>
      <c r="CZ377" s="122" t="str">
        <f>INDEX('NM O&amp;G Production'!$O$3:$O$537,MATCH(CY377,'NM O&amp;G Production'!$P$3:$P$537,0))</f>
        <v>Yes</v>
      </c>
      <c r="DA377" s="127">
        <f>INDEX('NM O&amp;G Production'!$K$3:$O$537,MATCH($CY377,'NM O&amp;G Production'!$P$3:$P$537,0),MATCH(DA$2,'NM O&amp;G Production'!$K$2:$O$2,0))</f>
        <v>0</v>
      </c>
      <c r="DB377" s="127">
        <f>INDEX('NM O&amp;G Production'!$K$3:$O$537,MATCH($CY377,'NM O&amp;G Production'!$P$3:$P$537,0),MATCH(DB$2,'NM O&amp;G Production'!$K$2:$O$2,0))</f>
        <v>5</v>
      </c>
      <c r="DC377" s="127">
        <f>DA377+DB377</f>
        <v>5</v>
      </c>
      <c r="DD377" s="127">
        <f>INDEX('NM O&amp;G Production'!$K$3:$O$537,MATCH($CY377,'NM O&amp;G Production'!$P$3:$P$537,0),MATCH(DD$2,'NM O&amp;G Production'!$K$2:$O$2,0))</f>
        <v>15368</v>
      </c>
      <c r="DE377" s="127">
        <f>INDEX('NM O&amp;G Production'!$K$3:$O$537,MATCH($CY377,'NM O&amp;G Production'!$P$3:$P$537,0),MATCH(DE$2,'NM O&amp;G Production'!$K$2:$O$2,0))</f>
        <v>4544</v>
      </c>
      <c r="DF377" s="258">
        <f>CK377/(DB377+DA377)</f>
        <v>29840.799999999999</v>
      </c>
      <c r="DG377" s="57">
        <f>DD377*(12/18)*1.06*'Oil and Gas Prices'!$C$18</f>
        <v>25955.527466666666</v>
      </c>
      <c r="DH377" s="284">
        <f>DE377*(12/18)*'Oil and Gas Prices'!$C$4</f>
        <v>136320</v>
      </c>
      <c r="DI377" s="284">
        <f>DG377+DH377</f>
        <v>162275.52746666665</v>
      </c>
      <c r="DJ377" s="57">
        <f>(DG377+DH377)/(DA377+DB377)</f>
        <v>32455.105493333329</v>
      </c>
      <c r="DK377" s="318"/>
    </row>
    <row r="378" spans="1:115" x14ac:dyDescent="0.25">
      <c r="A378" t="s">
        <v>2386</v>
      </c>
      <c r="B378" t="s">
        <v>2387</v>
      </c>
      <c r="D378" t="s">
        <v>344</v>
      </c>
      <c r="E378" t="s">
        <v>80</v>
      </c>
      <c r="F378">
        <v>79714</v>
      </c>
      <c r="G378" t="s">
        <v>62</v>
      </c>
      <c r="I378">
        <v>338</v>
      </c>
      <c r="J378" t="s">
        <v>89</v>
      </c>
      <c r="K378" t="s">
        <v>4133</v>
      </c>
      <c r="L378" t="s">
        <v>279</v>
      </c>
      <c r="M378">
        <v>8</v>
      </c>
      <c r="N378" t="s">
        <v>2388</v>
      </c>
      <c r="O378" t="s">
        <v>2389</v>
      </c>
      <c r="R378" t="s">
        <v>344</v>
      </c>
      <c r="S378" t="s">
        <v>94</v>
      </c>
      <c r="T378">
        <v>79714</v>
      </c>
      <c r="U378" t="s">
        <v>62</v>
      </c>
      <c r="V378">
        <v>4325234653</v>
      </c>
      <c r="W378" s="1">
        <v>147445</v>
      </c>
      <c r="X378">
        <v>2</v>
      </c>
      <c r="Y378">
        <v>2</v>
      </c>
      <c r="Z378">
        <v>2001</v>
      </c>
      <c r="AA378" t="s">
        <v>70</v>
      </c>
      <c r="AD378" t="s">
        <v>71</v>
      </c>
      <c r="AE378">
        <v>1389</v>
      </c>
      <c r="AF378" t="s">
        <v>72</v>
      </c>
      <c r="AI378">
        <v>13890000</v>
      </c>
      <c r="AJ378" t="s">
        <v>73</v>
      </c>
      <c r="AM378">
        <v>213112</v>
      </c>
      <c r="AN378" t="s">
        <v>74</v>
      </c>
      <c r="AQ378" t="s">
        <v>75</v>
      </c>
      <c r="AT378" t="s">
        <v>76</v>
      </c>
      <c r="BF378">
        <v>0</v>
      </c>
      <c r="BG378">
        <v>0</v>
      </c>
      <c r="CK378" s="19">
        <f>IF(BQ378&gt;0,BQ378,W378)</f>
        <v>147445</v>
      </c>
      <c r="CL378" s="20">
        <f>IF(BS378&gt;0,BS378,Y378)</f>
        <v>2</v>
      </c>
      <c r="CM378" s="34">
        <f>IF(CG378&gt;0,CG378,AM378)</f>
        <v>213112</v>
      </c>
      <c r="CN378" s="80">
        <f>IF($BH378="",1,COUNTIF($BH$3:$BH378,$BH378))</f>
        <v>1</v>
      </c>
      <c r="CP378" t="str">
        <f>IF($K378="Standard Match","Match",IF($K378="Name Only Match",IF($CO378="Yes","Match","Name Only Match"),"No Match"))</f>
        <v>Match</v>
      </c>
      <c r="CQ378" s="35" t="str">
        <f>IF(AND(CP378="Match",CK378&gt;0,CL378&gt;0),"Y","N")</f>
        <v>Y</v>
      </c>
      <c r="CS378" t="str">
        <f>IF($CQ378="Y",VLOOKUP($CM378,'SBA Size Standards'!$B$3:$G$57,MATCH('SBA Size Standards'!$G$3,'SBA Size Standards'!$B$3:$G$3,0),FALSE),"")</f>
        <v>Revenue</v>
      </c>
      <c r="CT378" s="60">
        <f>IF(CQ378="Y",IF($CS378="Employment","N/A",VLOOKUP($CM378,'SBA Size Standards'!$B$3:$G$57,MATCH('SBA Size Standards'!$E$3,'SBA Size Standards'!$B$3:$G$3,0),FALSE)),"")</f>
        <v>41500000</v>
      </c>
      <c r="CU378" s="86" t="str">
        <f>IF($CQ378="Y",IF($CS378="Revenue","N/A",VLOOKUP($CM378,'SBA Size Standards'!$B$3:$G$57,MATCH('SBA Size Standards'!$F$3,'SBA Size Standards'!$B$3:$G$3,0),FALSE)),"")</f>
        <v>N/A</v>
      </c>
      <c r="CV378" t="str">
        <f>IF($CQ378="Y",IF(OR(AND($CS378="Employment",$CL378&lt;$CU378),AND($CS378="Revenue",$CK378&lt;$CT378)),"YES","NO"),"")</f>
        <v>YES</v>
      </c>
      <c r="CW378" s="90" t="str">
        <f>IF($CQ378="Y",INDEX('SBA Size Standards'!$N$3:$N$12,MATCH($CK378,'SBA Size Standards'!$O$3:$O$12,1)),"")</f>
        <v>$100,001 - $500,000</v>
      </c>
      <c r="CX378" s="122" t="s">
        <v>4879</v>
      </c>
      <c r="CY378" s="122">
        <f>INDEX('NM O&amp;G Production'!$P$3:$P$537,MATCH(CX378,'NM O&amp;G Production'!$Q$3:$Q$537,0))</f>
        <v>338</v>
      </c>
      <c r="CZ378" s="122" t="str">
        <f>INDEX('NM O&amp;G Production'!$O$3:$O$537,MATCH(CY378,'NM O&amp;G Production'!$P$3:$P$537,0))</f>
        <v>Yes</v>
      </c>
      <c r="DA378" s="127">
        <f>INDEX('NM O&amp;G Production'!$K$3:$O$537,MATCH($CY378,'NM O&amp;G Production'!$P$3:$P$537,0),MATCH(DA$2,'NM O&amp;G Production'!$K$2:$O$2,0))</f>
        <v>0</v>
      </c>
      <c r="DB378" s="127">
        <f>INDEX('NM O&amp;G Production'!$K$3:$O$537,MATCH($CY378,'NM O&amp;G Production'!$P$3:$P$537,0),MATCH(DB$2,'NM O&amp;G Production'!$K$2:$O$2,0))</f>
        <v>8</v>
      </c>
      <c r="DC378" s="127">
        <f>DA378+DB378</f>
        <v>8</v>
      </c>
      <c r="DD378" s="127">
        <f>INDEX('NM O&amp;G Production'!$K$3:$O$537,MATCH($CY378,'NM O&amp;G Production'!$P$3:$P$537,0),MATCH(DD$2,'NM O&amp;G Production'!$K$2:$O$2,0))</f>
        <v>0</v>
      </c>
      <c r="DE378" s="127">
        <f>INDEX('NM O&amp;G Production'!$K$3:$O$537,MATCH($CY378,'NM O&amp;G Production'!$P$3:$P$537,0),MATCH(DE$2,'NM O&amp;G Production'!$K$2:$O$2,0))</f>
        <v>2200</v>
      </c>
      <c r="DF378" s="258">
        <f>CK378/(DB378+DA378)</f>
        <v>18430.625</v>
      </c>
      <c r="DG378" s="57">
        <f>DD378*(12/18)*1.06*'Oil and Gas Prices'!$C$18</f>
        <v>0</v>
      </c>
      <c r="DH378" s="284">
        <f>DE378*(12/18)*'Oil and Gas Prices'!$C$4</f>
        <v>66000</v>
      </c>
      <c r="DI378" s="284">
        <f>DG378+DH378</f>
        <v>66000</v>
      </c>
      <c r="DJ378" s="57">
        <f>(DG378+DH378)/(DA378+DB378)</f>
        <v>8250</v>
      </c>
      <c r="DK378" s="318"/>
    </row>
    <row r="379" spans="1:115" x14ac:dyDescent="0.25">
      <c r="A379" t="s">
        <v>3030</v>
      </c>
      <c r="B379" t="s">
        <v>3031</v>
      </c>
      <c r="D379" t="s">
        <v>378</v>
      </c>
      <c r="E379" t="s">
        <v>80</v>
      </c>
      <c r="F379">
        <v>75201</v>
      </c>
      <c r="G379" t="s">
        <v>62</v>
      </c>
      <c r="I379">
        <v>442</v>
      </c>
      <c r="J379" t="s">
        <v>63</v>
      </c>
      <c r="K379" t="s">
        <v>4133</v>
      </c>
      <c r="L379" t="s">
        <v>64</v>
      </c>
      <c r="M379">
        <v>10</v>
      </c>
      <c r="N379" t="s">
        <v>3032</v>
      </c>
      <c r="O379" t="s">
        <v>3033</v>
      </c>
      <c r="Q379" t="s">
        <v>3034</v>
      </c>
      <c r="R379" t="s">
        <v>378</v>
      </c>
      <c r="S379" t="s">
        <v>94</v>
      </c>
      <c r="T379" t="s">
        <v>3035</v>
      </c>
      <c r="U379" t="s">
        <v>62</v>
      </c>
      <c r="V379">
        <v>2146300088</v>
      </c>
      <c r="W379" s="1">
        <v>147394</v>
      </c>
      <c r="X379">
        <v>2</v>
      </c>
      <c r="Y379">
        <v>2</v>
      </c>
      <c r="Z379">
        <v>1992</v>
      </c>
      <c r="AA379" t="s">
        <v>70</v>
      </c>
      <c r="AB379" t="s">
        <v>3036</v>
      </c>
      <c r="AC379" t="s">
        <v>98</v>
      </c>
      <c r="AD379" t="s">
        <v>119</v>
      </c>
      <c r="AE379">
        <v>1382</v>
      </c>
      <c r="AF379" t="s">
        <v>120</v>
      </c>
      <c r="AI379">
        <v>13820000</v>
      </c>
      <c r="AJ379" t="s">
        <v>119</v>
      </c>
      <c r="AM379">
        <v>213112</v>
      </c>
      <c r="AN379" t="s">
        <v>74</v>
      </c>
      <c r="AQ379" t="s">
        <v>75</v>
      </c>
      <c r="AT379" t="s">
        <v>76</v>
      </c>
      <c r="BF379">
        <v>0</v>
      </c>
      <c r="BG379">
        <v>0</v>
      </c>
      <c r="CK379" s="19">
        <f>IF(BQ379&gt;0,BQ379,W379)</f>
        <v>147394</v>
      </c>
      <c r="CL379" s="20">
        <f>IF(BS379&gt;0,BS379,Y379)</f>
        <v>2</v>
      </c>
      <c r="CM379" s="34">
        <f>IF(CG379&gt;0,CG379,AM379)</f>
        <v>213112</v>
      </c>
      <c r="CN379" s="80">
        <f>IF($BH379="",1,COUNTIF($BH$3:$BH379,$BH379))</f>
        <v>1</v>
      </c>
      <c r="CP379" t="str">
        <f>IF($K379="Standard Match","Match",IF($K379="Name Only Match",IF($CO379="Yes","Match","Name Only Match"),"No Match"))</f>
        <v>Match</v>
      </c>
      <c r="CQ379" s="35" t="str">
        <f>IF(AND(CP379="Match",CK379&gt;0,CL379&gt;0),"Y","N")</f>
        <v>Y</v>
      </c>
      <c r="CS379" t="str">
        <f>IF($CQ379="Y",VLOOKUP($CM379,'SBA Size Standards'!$B$3:$G$57,MATCH('SBA Size Standards'!$G$3,'SBA Size Standards'!$B$3:$G$3,0),FALSE),"")</f>
        <v>Revenue</v>
      </c>
      <c r="CT379" s="60">
        <f>IF(CQ379="Y",IF($CS379="Employment","N/A",VLOOKUP($CM379,'SBA Size Standards'!$B$3:$G$57,MATCH('SBA Size Standards'!$E$3,'SBA Size Standards'!$B$3:$G$3,0),FALSE)),"")</f>
        <v>41500000</v>
      </c>
      <c r="CU379" s="86" t="str">
        <f>IF($CQ379="Y",IF($CS379="Revenue","N/A",VLOOKUP($CM379,'SBA Size Standards'!$B$3:$G$57,MATCH('SBA Size Standards'!$F$3,'SBA Size Standards'!$B$3:$G$3,0),FALSE)),"")</f>
        <v>N/A</v>
      </c>
      <c r="CV379" t="str">
        <f>IF($CQ379="Y",IF(OR(AND($CS379="Employment",$CL379&lt;$CU379),AND($CS379="Revenue",$CK379&lt;$CT379)),"YES","NO"),"")</f>
        <v>YES</v>
      </c>
      <c r="CW379" s="90" t="str">
        <f>IF($CQ379="Y",INDEX('SBA Size Standards'!$N$3:$N$12,MATCH($CK379,'SBA Size Standards'!$O$3:$O$12,1)),"")</f>
        <v>$100,001 - $500,000</v>
      </c>
      <c r="CX379" s="122" t="s">
        <v>4749</v>
      </c>
      <c r="CY379" s="122">
        <f>INDEX('NM O&amp;G Production'!$P$3:$P$537,MATCH(CX379,'NM O&amp;G Production'!$Q$3:$Q$537,0))</f>
        <v>442</v>
      </c>
      <c r="CZ379" s="122" t="str">
        <f>INDEX('NM O&amp;G Production'!$O$3:$O$537,MATCH(CY379,'NM O&amp;G Production'!$P$3:$P$537,0))</f>
        <v>Yes</v>
      </c>
      <c r="DA379" s="127">
        <f>INDEX('NM O&amp;G Production'!$K$3:$O$537,MATCH($CY379,'NM O&amp;G Production'!$P$3:$P$537,0),MATCH(DA$2,'NM O&amp;G Production'!$K$2:$O$2,0))</f>
        <v>4</v>
      </c>
      <c r="DB379" s="127">
        <f>INDEX('NM O&amp;G Production'!$K$3:$O$537,MATCH($CY379,'NM O&amp;G Production'!$P$3:$P$537,0),MATCH(DB$2,'NM O&amp;G Production'!$K$2:$O$2,0))</f>
        <v>2</v>
      </c>
      <c r="DC379" s="127">
        <f>DA379+DB379</f>
        <v>6</v>
      </c>
      <c r="DD379" s="127">
        <f>INDEX('NM O&amp;G Production'!$K$3:$O$537,MATCH($CY379,'NM O&amp;G Production'!$P$3:$P$537,0),MATCH(DD$2,'NM O&amp;G Production'!$K$2:$O$2,0))</f>
        <v>216898</v>
      </c>
      <c r="DE379" s="127">
        <f>INDEX('NM O&amp;G Production'!$K$3:$O$537,MATCH($CY379,'NM O&amp;G Production'!$P$3:$P$537,0),MATCH(DE$2,'NM O&amp;G Production'!$K$2:$O$2,0))</f>
        <v>0</v>
      </c>
      <c r="DF379" s="258">
        <f>CK379/(DB379+DA379)</f>
        <v>24565.666666666668</v>
      </c>
      <c r="DG379" s="57">
        <f>DD379*(12/18)*1.06*'Oil and Gas Prices'!$C$18</f>
        <v>366326.26213333337</v>
      </c>
      <c r="DH379" s="284">
        <f>DE379*(12/18)*'Oil and Gas Prices'!$C$4</f>
        <v>0</v>
      </c>
      <c r="DI379" s="284">
        <f>DG379+DH379</f>
        <v>366326.26213333337</v>
      </c>
      <c r="DJ379" s="57">
        <f>(DG379+DH379)/(DA379+DB379)</f>
        <v>61054.37702222223</v>
      </c>
      <c r="DK379" s="318"/>
    </row>
    <row r="380" spans="1:115" x14ac:dyDescent="0.25">
      <c r="A380" s="21" t="s">
        <v>1774</v>
      </c>
      <c r="B380" t="s">
        <v>1775</v>
      </c>
      <c r="D380" t="s">
        <v>1776</v>
      </c>
      <c r="E380" t="s">
        <v>80</v>
      </c>
      <c r="F380">
        <v>77450</v>
      </c>
      <c r="G380" t="s">
        <v>62</v>
      </c>
      <c r="I380">
        <v>243</v>
      </c>
      <c r="J380" t="s">
        <v>63</v>
      </c>
      <c r="K380" t="s">
        <v>4134</v>
      </c>
      <c r="L380" t="s">
        <v>3627</v>
      </c>
      <c r="M380">
        <v>8</v>
      </c>
      <c r="N380" t="s">
        <v>3661</v>
      </c>
      <c r="O380" s="21" t="s">
        <v>5087</v>
      </c>
      <c r="Q380" t="s">
        <v>5088</v>
      </c>
      <c r="R380" t="s">
        <v>1776</v>
      </c>
      <c r="S380" t="s">
        <v>94</v>
      </c>
      <c r="T380" t="s">
        <v>5089</v>
      </c>
      <c r="U380" t="s">
        <v>62</v>
      </c>
      <c r="V380">
        <v>7133768878</v>
      </c>
      <c r="W380" s="1">
        <v>145600</v>
      </c>
      <c r="X380">
        <v>2</v>
      </c>
      <c r="Y380">
        <v>2</v>
      </c>
      <c r="Z380">
        <v>2017</v>
      </c>
      <c r="AA380" t="s">
        <v>70</v>
      </c>
      <c r="AD380" t="s">
        <v>494</v>
      </c>
      <c r="AE380">
        <v>8741</v>
      </c>
      <c r="AF380" t="s">
        <v>495</v>
      </c>
      <c r="AI380">
        <v>87410000</v>
      </c>
      <c r="AJ380" t="s">
        <v>496</v>
      </c>
      <c r="AM380">
        <v>561110</v>
      </c>
      <c r="AN380" t="s">
        <v>497</v>
      </c>
      <c r="AQ380" t="s">
        <v>75</v>
      </c>
      <c r="AT380" t="s">
        <v>76</v>
      </c>
      <c r="BF380">
        <v>0</v>
      </c>
      <c r="BG380">
        <v>0</v>
      </c>
      <c r="CK380" s="19">
        <f>IF(BQ380&gt;0,BQ380,W380)</f>
        <v>145600</v>
      </c>
      <c r="CL380" s="20">
        <f>IF(BS380&gt;0,BS380,Y380)</f>
        <v>2</v>
      </c>
      <c r="CM380" s="34">
        <f>IF(CG380&gt;0,CG380,AM380)</f>
        <v>561110</v>
      </c>
      <c r="CN380" s="80">
        <f>IF($BH380="",1,COUNTIF($BH$3:$BH380,$BH380))</f>
        <v>1</v>
      </c>
      <c r="CO380" s="33" t="s">
        <v>4386</v>
      </c>
      <c r="CP380" t="str">
        <f>IF($K380="Standard Match","Match",IF($K380="Name Only Match",IF($CO380="Yes","Match","Name Only Match"),"No Match"))</f>
        <v>Match</v>
      </c>
      <c r="CQ380" s="35" t="str">
        <f>IF(AND(CP380="Match",CK380&gt;0,CL380&gt;0),"Y","N")</f>
        <v>Y</v>
      </c>
      <c r="CR380" t="s">
        <v>5078</v>
      </c>
      <c r="CS380" t="str">
        <f>IF($CQ380="Y",VLOOKUP($CM380,'SBA Size Standards'!$B$3:$G$57,MATCH('SBA Size Standards'!$G$3,'SBA Size Standards'!$B$3:$G$3,0),FALSE),"")</f>
        <v>Revenue</v>
      </c>
      <c r="CT380" s="60">
        <f>IF(CQ380="Y",IF($CS380="Employment","N/A",VLOOKUP($CM380,'SBA Size Standards'!$B$3:$G$57,MATCH('SBA Size Standards'!$E$3,'SBA Size Standards'!$B$3:$G$3,0),FALSE)),"")</f>
        <v>8000000</v>
      </c>
      <c r="CU380" s="86" t="str">
        <f>IF($CQ380="Y",IF($CS380="Revenue","N/A",VLOOKUP($CM380,'SBA Size Standards'!$B$3:$G$57,MATCH('SBA Size Standards'!$F$3,'SBA Size Standards'!$B$3:$G$3,0),FALSE)),"")</f>
        <v>N/A</v>
      </c>
      <c r="CV380" t="str">
        <f>IF($CQ380="Y",IF(OR(AND($CS380="Employment",$CL380&lt;$CU380),AND($CS380="Revenue",$CK380&lt;$CT380)),"YES","NO"),"")</f>
        <v>YES</v>
      </c>
      <c r="CW380" s="90" t="str">
        <f>IF($CQ380="Y",INDEX('SBA Size Standards'!$N$3:$N$12,MATCH($CK380,'SBA Size Standards'!$O$3:$O$12,1)),"")</f>
        <v>$100,001 - $500,000</v>
      </c>
      <c r="CX380" s="122" t="s">
        <v>4967</v>
      </c>
      <c r="CY380" s="122">
        <f>INDEX('NM O&amp;G Production'!$P$3:$P$537,MATCH(CX380,'NM O&amp;G Production'!$Q$3:$Q$537,0))</f>
        <v>243</v>
      </c>
      <c r="CZ380" s="122" t="str">
        <f>INDEX('NM O&amp;G Production'!$O$3:$O$537,MATCH(CY380,'NM O&amp;G Production'!$P$3:$P$537,0))</f>
        <v>Yes</v>
      </c>
      <c r="DA380" s="127">
        <f>INDEX('NM O&amp;G Production'!$K$3:$O$537,MATCH($CY380,'NM O&amp;G Production'!$P$3:$P$537,0),MATCH(DA$2,'NM O&amp;G Production'!$K$2:$O$2,0))</f>
        <v>1</v>
      </c>
      <c r="DB380" s="127">
        <f>INDEX('NM O&amp;G Production'!$K$3:$O$537,MATCH($CY380,'NM O&amp;G Production'!$P$3:$P$537,0),MATCH(DB$2,'NM O&amp;G Production'!$K$2:$O$2,0))</f>
        <v>12</v>
      </c>
      <c r="DC380" s="127">
        <f>DA380+DB380</f>
        <v>13</v>
      </c>
      <c r="DD380" s="127">
        <f>INDEX('NM O&amp;G Production'!$K$3:$O$537,MATCH($CY380,'NM O&amp;G Production'!$P$3:$P$537,0),MATCH(DD$2,'NM O&amp;G Production'!$K$2:$O$2,0))</f>
        <v>111194</v>
      </c>
      <c r="DE380" s="127">
        <f>INDEX('NM O&amp;G Production'!$K$3:$O$537,MATCH($CY380,'NM O&amp;G Production'!$P$3:$P$537,0),MATCH(DE$2,'NM O&amp;G Production'!$K$2:$O$2,0))</f>
        <v>11562</v>
      </c>
      <c r="DF380" s="258">
        <f>CK380/(DB380+DA380)</f>
        <v>11200</v>
      </c>
      <c r="DG380" s="57">
        <f>DD380*(12/18)*1.06*'Oil and Gas Prices'!$C$18</f>
        <v>187799.25306666669</v>
      </c>
      <c r="DH380" s="284">
        <f>DE380*(12/18)*'Oil and Gas Prices'!$C$4</f>
        <v>346860</v>
      </c>
      <c r="DI380" s="284">
        <f>DG380+DH380</f>
        <v>534659.25306666666</v>
      </c>
      <c r="DJ380" s="57">
        <f>(DG380+DH380)/(DA380+DB380)</f>
        <v>41127.634851282048</v>
      </c>
      <c r="DK380" s="318"/>
    </row>
    <row r="381" spans="1:115" x14ac:dyDescent="0.25">
      <c r="A381" t="s">
        <v>2958</v>
      </c>
      <c r="B381" t="s">
        <v>2959</v>
      </c>
      <c r="D381" t="s">
        <v>382</v>
      </c>
      <c r="E381" t="s">
        <v>61</v>
      </c>
      <c r="F381">
        <v>81302</v>
      </c>
      <c r="G381" t="s">
        <v>62</v>
      </c>
      <c r="I381">
        <v>431</v>
      </c>
      <c r="J381" t="s">
        <v>63</v>
      </c>
      <c r="K381" t="s">
        <v>4133</v>
      </c>
      <c r="L381" t="s">
        <v>279</v>
      </c>
      <c r="M381">
        <v>8</v>
      </c>
      <c r="N381" t="s">
        <v>2960</v>
      </c>
      <c r="O381" t="s">
        <v>2961</v>
      </c>
      <c r="Q381" t="s">
        <v>2962</v>
      </c>
      <c r="R381" t="s">
        <v>382</v>
      </c>
      <c r="S381" t="s">
        <v>68</v>
      </c>
      <c r="T381" t="s">
        <v>2963</v>
      </c>
      <c r="U381" t="s">
        <v>62</v>
      </c>
      <c r="V381">
        <v>9703850696</v>
      </c>
      <c r="W381" s="1">
        <v>145571</v>
      </c>
      <c r="X381">
        <v>2</v>
      </c>
      <c r="Y381">
        <v>2</v>
      </c>
      <c r="Z381">
        <v>2012</v>
      </c>
      <c r="AA381" t="s">
        <v>70</v>
      </c>
      <c r="AD381" t="s">
        <v>119</v>
      </c>
      <c r="AE381">
        <v>1382</v>
      </c>
      <c r="AF381" t="s">
        <v>120</v>
      </c>
      <c r="AI381">
        <v>13820000</v>
      </c>
      <c r="AJ381" t="s">
        <v>119</v>
      </c>
      <c r="AM381">
        <v>213112</v>
      </c>
      <c r="AN381" t="s">
        <v>74</v>
      </c>
      <c r="AQ381" t="s">
        <v>75</v>
      </c>
      <c r="AT381" t="s">
        <v>76</v>
      </c>
      <c r="BF381">
        <v>0</v>
      </c>
      <c r="BG381">
        <v>0</v>
      </c>
      <c r="CK381" s="19">
        <f>IF(BQ381&gt;0,BQ381,W381)</f>
        <v>145571</v>
      </c>
      <c r="CL381" s="20">
        <f>IF(BS381&gt;0,BS381,Y381)</f>
        <v>2</v>
      </c>
      <c r="CM381" s="34">
        <f>IF(CG381&gt;0,CG381,AM381)</f>
        <v>213112</v>
      </c>
      <c r="CN381" s="80">
        <f>IF($BH381="",1,COUNTIF($BH$3:$BH381,$BH381))</f>
        <v>1</v>
      </c>
      <c r="CP381" t="str">
        <f>IF($K381="Standard Match","Match",IF($K381="Name Only Match",IF($CO381="Yes","Match","Name Only Match"),"No Match"))</f>
        <v>Match</v>
      </c>
      <c r="CQ381" s="35" t="str">
        <f>IF(AND(CP381="Match",CK381&gt;0,CL381&gt;0),"Y","N")</f>
        <v>Y</v>
      </c>
      <c r="CS381" t="str">
        <f>IF($CQ381="Y",VLOOKUP($CM381,'SBA Size Standards'!$B$3:$G$57,MATCH('SBA Size Standards'!$G$3,'SBA Size Standards'!$B$3:$G$3,0),FALSE),"")</f>
        <v>Revenue</v>
      </c>
      <c r="CT381" s="60">
        <f>IF(CQ381="Y",IF($CS381="Employment","N/A",VLOOKUP($CM381,'SBA Size Standards'!$B$3:$G$57,MATCH('SBA Size Standards'!$E$3,'SBA Size Standards'!$B$3:$G$3,0),FALSE)),"")</f>
        <v>41500000</v>
      </c>
      <c r="CU381" s="86" t="str">
        <f>IF($CQ381="Y",IF($CS381="Revenue","N/A",VLOOKUP($CM381,'SBA Size Standards'!$B$3:$G$57,MATCH('SBA Size Standards'!$F$3,'SBA Size Standards'!$B$3:$G$3,0),FALSE)),"")</f>
        <v>N/A</v>
      </c>
      <c r="CV381" t="str">
        <f>IF($CQ381="Y",IF(OR(AND($CS381="Employment",$CL381&lt;$CU381),AND($CS381="Revenue",$CK381&lt;$CT381)),"YES","NO"),"")</f>
        <v>YES</v>
      </c>
      <c r="CW381" s="90" t="str">
        <f>IF($CQ381="Y",INDEX('SBA Size Standards'!$N$3:$N$12,MATCH($CK381,'SBA Size Standards'!$O$3:$O$12,1)),"")</f>
        <v>$100,001 - $500,000</v>
      </c>
      <c r="CX381" s="122" t="s">
        <v>5069</v>
      </c>
      <c r="CY381" s="122">
        <f>INDEX('NM O&amp;G Production'!$P$3:$P$537,MATCH(CX381,'NM O&amp;G Production'!$Q$3:$Q$537,0))</f>
        <v>431</v>
      </c>
      <c r="CZ381" s="122" t="str">
        <f>INDEX('NM O&amp;G Production'!$O$3:$O$537,MATCH(CY381,'NM O&amp;G Production'!$P$3:$P$537,0))</f>
        <v>Yes</v>
      </c>
      <c r="DA381" s="127">
        <f>INDEX('NM O&amp;G Production'!$K$3:$O$537,MATCH($CY381,'NM O&amp;G Production'!$P$3:$P$537,0),MATCH(DA$2,'NM O&amp;G Production'!$K$2:$O$2,0))</f>
        <v>16</v>
      </c>
      <c r="DB381" s="127">
        <f>INDEX('NM O&amp;G Production'!$K$3:$O$537,MATCH($CY381,'NM O&amp;G Production'!$P$3:$P$537,0),MATCH(DB$2,'NM O&amp;G Production'!$K$2:$O$2,0))</f>
        <v>23</v>
      </c>
      <c r="DC381" s="127">
        <f>DA381+DB381</f>
        <v>39</v>
      </c>
      <c r="DD381" s="127">
        <f>INDEX('NM O&amp;G Production'!$K$3:$O$537,MATCH($CY381,'NM O&amp;G Production'!$P$3:$P$537,0),MATCH(DD$2,'NM O&amp;G Production'!$K$2:$O$2,0))</f>
        <v>929686</v>
      </c>
      <c r="DE381" s="127">
        <f>INDEX('NM O&amp;G Production'!$K$3:$O$537,MATCH($CY381,'NM O&amp;G Production'!$P$3:$P$537,0),MATCH(DE$2,'NM O&amp;G Production'!$K$2:$O$2,0))</f>
        <v>19109</v>
      </c>
      <c r="DF381" s="258">
        <f>CK381/(DB381+DA381)</f>
        <v>3732.5897435897436</v>
      </c>
      <c r="DG381" s="57">
        <f>DD381*(12/18)*1.06*'Oil and Gas Prices'!$C$18</f>
        <v>1570177.6749333334</v>
      </c>
      <c r="DH381" s="284">
        <f>DE381*(12/18)*'Oil and Gas Prices'!$C$4</f>
        <v>573270</v>
      </c>
      <c r="DI381" s="284">
        <f>DG381+DH381</f>
        <v>2143447.6749333334</v>
      </c>
      <c r="DJ381" s="57">
        <f>(DG381+DH381)/(DA381+DB381)</f>
        <v>54960.196793162395</v>
      </c>
      <c r="DK381" s="318"/>
    </row>
    <row r="382" spans="1:115" x14ac:dyDescent="0.25">
      <c r="A382" t="s">
        <v>2914</v>
      </c>
      <c r="B382" t="s">
        <v>2915</v>
      </c>
      <c r="D382" t="s">
        <v>153</v>
      </c>
      <c r="E382" t="s">
        <v>80</v>
      </c>
      <c r="F382">
        <v>79702</v>
      </c>
      <c r="G382" t="s">
        <v>62</v>
      </c>
      <c r="I382">
        <v>424</v>
      </c>
      <c r="J382" t="s">
        <v>89</v>
      </c>
      <c r="K382" t="s">
        <v>4133</v>
      </c>
      <c r="L382" t="s">
        <v>149</v>
      </c>
      <c r="M382">
        <v>10</v>
      </c>
      <c r="N382" t="s">
        <v>2916</v>
      </c>
      <c r="O382" t="s">
        <v>2917</v>
      </c>
      <c r="Q382" t="s">
        <v>2918</v>
      </c>
      <c r="R382" t="s">
        <v>153</v>
      </c>
      <c r="S382" t="s">
        <v>94</v>
      </c>
      <c r="T382" t="s">
        <v>2919</v>
      </c>
      <c r="U382" t="s">
        <v>62</v>
      </c>
      <c r="V382">
        <v>4326848001</v>
      </c>
      <c r="W382" s="1">
        <v>140000</v>
      </c>
      <c r="X382">
        <v>1</v>
      </c>
      <c r="Y382">
        <v>1</v>
      </c>
      <c r="Z382">
        <v>1952</v>
      </c>
      <c r="AA382" t="s">
        <v>70</v>
      </c>
      <c r="AB382" t="s">
        <v>2920</v>
      </c>
      <c r="AC382" t="s">
        <v>98</v>
      </c>
      <c r="AD382" t="s">
        <v>99</v>
      </c>
      <c r="AE382">
        <v>1311</v>
      </c>
      <c r="AF382" t="s">
        <v>100</v>
      </c>
      <c r="AI382">
        <v>13110101</v>
      </c>
      <c r="AJ382" t="s">
        <v>102</v>
      </c>
      <c r="AM382">
        <v>211120</v>
      </c>
      <c r="AN382" t="s">
        <v>104</v>
      </c>
      <c r="AQ382" t="s">
        <v>75</v>
      </c>
      <c r="AT382" t="s">
        <v>76</v>
      </c>
      <c r="BF382">
        <v>0</v>
      </c>
      <c r="BG382">
        <v>0</v>
      </c>
      <c r="CK382" s="19">
        <f>IF(BQ382&gt;0,BQ382,W382)</f>
        <v>140000</v>
      </c>
      <c r="CL382" s="20">
        <f>IF(BS382&gt;0,BS382,Y382)</f>
        <v>1</v>
      </c>
      <c r="CM382" s="34">
        <f>IF(CG382&gt;0,CG382,AM382)</f>
        <v>211120</v>
      </c>
      <c r="CN382" s="80">
        <f>IF($BH382="",1,COUNTIF($BH$3:$BH382,$BH382))</f>
        <v>1</v>
      </c>
      <c r="CP382" t="str">
        <f>IF($K382="Standard Match","Match",IF($K382="Name Only Match",IF($CO382="Yes","Match","Name Only Match"),"No Match"))</f>
        <v>Match</v>
      </c>
      <c r="CQ382" s="35" t="str">
        <f>IF(AND(CP382="Match",CK382&gt;0,CL382&gt;0),"Y","N")</f>
        <v>Y</v>
      </c>
      <c r="CS382" t="str">
        <f>IF($CQ382="Y",VLOOKUP($CM382,'SBA Size Standards'!$B$3:$G$57,MATCH('SBA Size Standards'!$G$3,'SBA Size Standards'!$B$3:$G$3,0),FALSE),"")</f>
        <v>Employment</v>
      </c>
      <c r="CT382" s="60" t="str">
        <f>IF(CQ382="Y",IF($CS382="Employment","N/A",VLOOKUP($CM382,'SBA Size Standards'!$B$3:$G$57,MATCH('SBA Size Standards'!$E$3,'SBA Size Standards'!$B$3:$G$3,0),FALSE)),"")</f>
        <v>N/A</v>
      </c>
      <c r="CU382" s="86">
        <f>IF($CQ382="Y",IF($CS382="Revenue","N/A",VLOOKUP($CM382,'SBA Size Standards'!$B$3:$G$57,MATCH('SBA Size Standards'!$F$3,'SBA Size Standards'!$B$3:$G$3,0),FALSE)),"")</f>
        <v>1250</v>
      </c>
      <c r="CV382" t="str">
        <f>IF($CQ382="Y",IF(OR(AND($CS382="Employment",$CL382&lt;$CU382),AND($CS382="Revenue",$CK382&lt;$CT382)),"YES","NO"),"")</f>
        <v>YES</v>
      </c>
      <c r="CW382" s="90" t="str">
        <f>IF($CQ382="Y",INDEX('SBA Size Standards'!$N$3:$N$12,MATCH($CK382,'SBA Size Standards'!$O$3:$O$12,1)),"")</f>
        <v>$100,001 - $500,000</v>
      </c>
      <c r="CX382" s="122" t="s">
        <v>4737</v>
      </c>
      <c r="CY382" s="122">
        <f>INDEX('NM O&amp;G Production'!$P$3:$P$537,MATCH(CX382,'NM O&amp;G Production'!$Q$3:$Q$537,0))</f>
        <v>424</v>
      </c>
      <c r="CZ382" s="122" t="str">
        <f>INDEX('NM O&amp;G Production'!$O$3:$O$537,MATCH(CY382,'NM O&amp;G Production'!$P$3:$P$537,0))</f>
        <v>Yes</v>
      </c>
      <c r="DA382" s="127">
        <f>INDEX('NM O&amp;G Production'!$K$3:$O$537,MATCH($CY382,'NM O&amp;G Production'!$P$3:$P$537,0),MATCH(DA$2,'NM O&amp;G Production'!$K$2:$O$2,0))</f>
        <v>0</v>
      </c>
      <c r="DB382" s="127">
        <f>INDEX('NM O&amp;G Production'!$K$3:$O$537,MATCH($CY382,'NM O&amp;G Production'!$P$3:$P$537,0),MATCH(DB$2,'NM O&amp;G Production'!$K$2:$O$2,0))</f>
        <v>6</v>
      </c>
      <c r="DC382" s="127">
        <f>DA382+DB382</f>
        <v>6</v>
      </c>
      <c r="DD382" s="127">
        <f>INDEX('NM O&amp;G Production'!$K$3:$O$537,MATCH($CY382,'NM O&amp;G Production'!$P$3:$P$537,0),MATCH(DD$2,'NM O&amp;G Production'!$K$2:$O$2,0))</f>
        <v>12201</v>
      </c>
      <c r="DE382" s="127">
        <f>INDEX('NM O&amp;G Production'!$K$3:$O$537,MATCH($CY382,'NM O&amp;G Production'!$P$3:$P$537,0),MATCH(DE$2,'NM O&amp;G Production'!$K$2:$O$2,0))</f>
        <v>336</v>
      </c>
      <c r="DF382" s="258">
        <f>CK382/(DB382+DA382)</f>
        <v>23333.333333333332</v>
      </c>
      <c r="DG382" s="57">
        <f>DD382*(12/18)*1.06*'Oil and Gas Prices'!$C$18</f>
        <v>20606.675600000002</v>
      </c>
      <c r="DH382" s="284">
        <f>DE382*(12/18)*'Oil and Gas Prices'!$C$4</f>
        <v>10080</v>
      </c>
      <c r="DI382" s="284">
        <f>DG382+DH382</f>
        <v>30686.675600000002</v>
      </c>
      <c r="DJ382" s="57">
        <f>(DG382+DH382)/(DA382+DB382)</f>
        <v>5114.4459333333334</v>
      </c>
      <c r="DK382" s="318"/>
    </row>
    <row r="383" spans="1:115" x14ac:dyDescent="0.25">
      <c r="A383" t="s">
        <v>802</v>
      </c>
      <c r="B383" t="s">
        <v>803</v>
      </c>
      <c r="D383" t="s">
        <v>585</v>
      </c>
      <c r="E383" t="s">
        <v>184</v>
      </c>
      <c r="F383">
        <v>73102</v>
      </c>
      <c r="G383" t="s">
        <v>62</v>
      </c>
      <c r="I383">
        <v>101</v>
      </c>
      <c r="J383" t="s">
        <v>89</v>
      </c>
      <c r="K383" t="s">
        <v>4133</v>
      </c>
      <c r="L383" t="s">
        <v>113</v>
      </c>
      <c r="M383">
        <v>8</v>
      </c>
      <c r="N383" t="s">
        <v>804</v>
      </c>
      <c r="O383" t="s">
        <v>805</v>
      </c>
      <c r="Q383" t="s">
        <v>806</v>
      </c>
      <c r="R383" t="s">
        <v>585</v>
      </c>
      <c r="S383" t="s">
        <v>188</v>
      </c>
      <c r="T383" t="s">
        <v>807</v>
      </c>
      <c r="U383" t="s">
        <v>62</v>
      </c>
      <c r="V383">
        <v>4052353611</v>
      </c>
      <c r="W383" s="1">
        <v>137415</v>
      </c>
      <c r="X383">
        <v>2</v>
      </c>
      <c r="Y383">
        <v>2</v>
      </c>
      <c r="Z383">
        <v>2013</v>
      </c>
      <c r="AA383" t="s">
        <v>70</v>
      </c>
      <c r="AB383" t="s">
        <v>808</v>
      </c>
      <c r="AC383" t="s">
        <v>231</v>
      </c>
      <c r="AD383" t="s">
        <v>809</v>
      </c>
      <c r="AE383">
        <v>6726</v>
      </c>
      <c r="AF383" t="s">
        <v>810</v>
      </c>
      <c r="AI383">
        <v>67260000</v>
      </c>
      <c r="AJ383" t="s">
        <v>809</v>
      </c>
      <c r="AM383">
        <v>525990</v>
      </c>
      <c r="AN383" t="s">
        <v>811</v>
      </c>
      <c r="AQ383" t="s">
        <v>75</v>
      </c>
      <c r="AT383" t="s">
        <v>76</v>
      </c>
      <c r="BF383">
        <v>0</v>
      </c>
      <c r="BG383">
        <v>0</v>
      </c>
      <c r="CK383" s="19">
        <f>IF(BQ383&gt;0,BQ383,W383)</f>
        <v>137415</v>
      </c>
      <c r="CL383" s="20">
        <f>IF(BS383&gt;0,BS383,Y383)</f>
        <v>2</v>
      </c>
      <c r="CM383" s="34">
        <f>IF(CG383&gt;0,CG383,AM383)</f>
        <v>525990</v>
      </c>
      <c r="CN383" s="80">
        <f>IF($BH383="",1,COUNTIF($BH$3:$BH383,$BH383))</f>
        <v>1</v>
      </c>
      <c r="CP383" t="str">
        <f>IF($K383="Standard Match","Match",IF($K383="Name Only Match",IF($CO383="Yes","Match","Name Only Match"),"No Match"))</f>
        <v>Match</v>
      </c>
      <c r="CQ383" s="35" t="str">
        <f>IF(AND(CP383="Match",CK383&gt;0,CL383&gt;0),"Y","N")</f>
        <v>Y</v>
      </c>
      <c r="CS383" t="str">
        <f>IF($CQ383="Y",VLOOKUP($CM383,'SBA Size Standards'!$B$3:$G$57,MATCH('SBA Size Standards'!$G$3,'SBA Size Standards'!$B$3:$G$3,0),FALSE),"")</f>
        <v>Revenue</v>
      </c>
      <c r="CT383" s="60">
        <f>IF(CQ383="Y",IF($CS383="Employment","N/A",VLOOKUP($CM383,'SBA Size Standards'!$B$3:$G$57,MATCH('SBA Size Standards'!$E$3,'SBA Size Standards'!$B$3:$G$3,0),FALSE)),"")</f>
        <v>35000000</v>
      </c>
      <c r="CU383" s="86" t="str">
        <f>IF($CQ383="Y",IF($CS383="Revenue","N/A",VLOOKUP($CM383,'SBA Size Standards'!$B$3:$G$57,MATCH('SBA Size Standards'!$F$3,'SBA Size Standards'!$B$3:$G$3,0),FALSE)),"")</f>
        <v>N/A</v>
      </c>
      <c r="CV383" t="str">
        <f>IF($CQ383="Y",IF(OR(AND($CS383="Employment",$CL383&lt;$CU383),AND($CS383="Revenue",$CK383&lt;$CT383)),"YES","NO"),"")</f>
        <v>YES</v>
      </c>
      <c r="CW383" s="90" t="str">
        <f>IF($CQ383="Y",INDEX('SBA Size Standards'!$N$3:$N$12,MATCH($CK383,'SBA Size Standards'!$O$3:$O$12,1)),"")</f>
        <v>$100,001 - $500,000</v>
      </c>
      <c r="CX383" s="122" t="s">
        <v>4824</v>
      </c>
      <c r="CY383" s="122">
        <f>INDEX('NM O&amp;G Production'!$P$3:$P$537,MATCH(CX383,'NM O&amp;G Production'!$Q$3:$Q$537,0))</f>
        <v>101</v>
      </c>
      <c r="CZ383" s="122" t="str">
        <f>INDEX('NM O&amp;G Production'!$O$3:$O$537,MATCH(CY383,'NM O&amp;G Production'!$P$3:$P$537,0))</f>
        <v>No</v>
      </c>
      <c r="DA383" s="127">
        <f>INDEX('NM O&amp;G Production'!$K$3:$O$537,MATCH($CY383,'NM O&amp;G Production'!$P$3:$P$537,0),MATCH(DA$2,'NM O&amp;G Production'!$K$2:$O$2,0))</f>
        <v>0</v>
      </c>
      <c r="DB383" s="127">
        <f>INDEX('NM O&amp;G Production'!$K$3:$O$537,MATCH($CY383,'NM O&amp;G Production'!$P$3:$P$537,0),MATCH(DB$2,'NM O&amp;G Production'!$K$2:$O$2,0))</f>
        <v>0</v>
      </c>
      <c r="DC383" s="127"/>
      <c r="DD383" s="127">
        <f>INDEX('NM O&amp;G Production'!$K$3:$O$537,MATCH($CY383,'NM O&amp;G Production'!$P$3:$P$537,0),MATCH(DD$2,'NM O&amp;G Production'!$K$2:$O$2,0))</f>
        <v>0</v>
      </c>
      <c r="DE383" s="127">
        <f>INDEX('NM O&amp;G Production'!$K$3:$O$537,MATCH($CY383,'NM O&amp;G Production'!$P$3:$P$537,0),MATCH(DE$2,'NM O&amp;G Production'!$K$2:$O$2,0))</f>
        <v>0</v>
      </c>
      <c r="DF383" s="258" t="e">
        <f>CK383/(DB383+DA383)</f>
        <v>#DIV/0!</v>
      </c>
      <c r="DG383" s="57">
        <f>DD383*(12/18)*1.06*'Oil and Gas Prices'!$C$18</f>
        <v>0</v>
      </c>
      <c r="DH383" s="284">
        <f>DE383*(12/18)*'Oil and Gas Prices'!$C$4</f>
        <v>0</v>
      </c>
      <c r="DI383" s="284"/>
      <c r="DJ383" s="57" t="e">
        <f>(DG383+DH383)/(DA383+DB383)</f>
        <v>#DIV/0!</v>
      </c>
      <c r="DK383" s="18" t="e">
        <f>CK383/DI383</f>
        <v>#DIV/0!</v>
      </c>
    </row>
    <row r="384" spans="1:115" x14ac:dyDescent="0.25">
      <c r="A384" t="s">
        <v>3526</v>
      </c>
      <c r="B384" t="s">
        <v>3527</v>
      </c>
      <c r="D384" t="s">
        <v>123</v>
      </c>
      <c r="E384" t="s">
        <v>84</v>
      </c>
      <c r="F384">
        <v>874991228</v>
      </c>
      <c r="G384" t="s">
        <v>62</v>
      </c>
      <c r="I384">
        <v>519</v>
      </c>
      <c r="J384" t="s">
        <v>89</v>
      </c>
      <c r="K384" t="s">
        <v>4133</v>
      </c>
      <c r="L384" t="s">
        <v>149</v>
      </c>
      <c r="M384">
        <v>10</v>
      </c>
      <c r="N384" t="s">
        <v>3528</v>
      </c>
      <c r="O384" t="s">
        <v>3529</v>
      </c>
      <c r="Q384" t="s">
        <v>1974</v>
      </c>
      <c r="R384" t="s">
        <v>123</v>
      </c>
      <c r="S384" t="s">
        <v>214</v>
      </c>
      <c r="T384" t="s">
        <v>1975</v>
      </c>
      <c r="U384" t="s">
        <v>62</v>
      </c>
      <c r="V384">
        <v>5053279393</v>
      </c>
      <c r="W384" s="1">
        <v>131250</v>
      </c>
      <c r="X384">
        <v>1</v>
      </c>
      <c r="Y384">
        <v>1</v>
      </c>
      <c r="Z384">
        <v>1969</v>
      </c>
      <c r="AA384" t="s">
        <v>70</v>
      </c>
      <c r="AB384" t="s">
        <v>3530</v>
      </c>
      <c r="AC384" t="s">
        <v>145</v>
      </c>
      <c r="AD384" t="s">
        <v>99</v>
      </c>
      <c r="AE384">
        <v>1311</v>
      </c>
      <c r="AF384" t="s">
        <v>100</v>
      </c>
      <c r="AI384">
        <v>13110101</v>
      </c>
      <c r="AJ384" t="s">
        <v>102</v>
      </c>
      <c r="AM384">
        <v>211120</v>
      </c>
      <c r="AN384" t="s">
        <v>104</v>
      </c>
      <c r="AQ384" t="s">
        <v>75</v>
      </c>
      <c r="AT384" t="s">
        <v>76</v>
      </c>
      <c r="BF384">
        <v>0</v>
      </c>
      <c r="BG384">
        <v>0</v>
      </c>
      <c r="CK384" s="19">
        <f>IF(BQ384&gt;0,BQ384,W384)</f>
        <v>131250</v>
      </c>
      <c r="CL384" s="20">
        <f>IF(BS384&gt;0,BS384,Y384)</f>
        <v>1</v>
      </c>
      <c r="CM384" s="34">
        <f>IF(CG384&gt;0,CG384,AM384)</f>
        <v>211120</v>
      </c>
      <c r="CN384" s="80">
        <f>IF($BH384="",1,COUNTIF($BH$3:$BH384,$BH384))</f>
        <v>1</v>
      </c>
      <c r="CP384" t="str">
        <f>IF($K384="Standard Match","Match",IF($K384="Name Only Match",IF($CO384="Yes","Match","Name Only Match"),"No Match"))</f>
        <v>Match</v>
      </c>
      <c r="CQ384" s="35" t="str">
        <f>IF(AND(CP384="Match",CK384&gt;0,CL384&gt;0),"Y","N")</f>
        <v>Y</v>
      </c>
      <c r="CS384" t="str">
        <f>IF($CQ384="Y",VLOOKUP($CM384,'SBA Size Standards'!$B$3:$G$57,MATCH('SBA Size Standards'!$G$3,'SBA Size Standards'!$B$3:$G$3,0),FALSE),"")</f>
        <v>Employment</v>
      </c>
      <c r="CT384" s="60" t="str">
        <f>IF(CQ384="Y",IF($CS384="Employment","N/A",VLOOKUP($CM384,'SBA Size Standards'!$B$3:$G$57,MATCH('SBA Size Standards'!$E$3,'SBA Size Standards'!$B$3:$G$3,0),FALSE)),"")</f>
        <v>N/A</v>
      </c>
      <c r="CU384" s="86">
        <f>IF($CQ384="Y",IF($CS384="Revenue","N/A",VLOOKUP($CM384,'SBA Size Standards'!$B$3:$G$57,MATCH('SBA Size Standards'!$F$3,'SBA Size Standards'!$B$3:$G$3,0),FALSE)),"")</f>
        <v>1250</v>
      </c>
      <c r="CV384" t="str">
        <f>IF($CQ384="Y",IF(OR(AND($CS384="Employment",$CL384&lt;$CU384),AND($CS384="Revenue",$CK384&lt;$CT384)),"YES","NO"),"")</f>
        <v>YES</v>
      </c>
      <c r="CW384" s="90" t="str">
        <f>IF($CQ384="Y",INDEX('SBA Size Standards'!$N$3:$N$12,MATCH($CK384,'SBA Size Standards'!$O$3:$O$12,1)),"")</f>
        <v>$100,001 - $500,000</v>
      </c>
      <c r="CX384" s="122" t="s">
        <v>4785</v>
      </c>
      <c r="CY384" s="122">
        <f>INDEX('NM O&amp;G Production'!$P$3:$P$537,MATCH(CX384,'NM O&amp;G Production'!$Q$3:$Q$537,0))</f>
        <v>519</v>
      </c>
      <c r="CZ384" s="122" t="str">
        <f>INDEX('NM O&amp;G Production'!$O$3:$O$537,MATCH(CY384,'NM O&amp;G Production'!$P$3:$P$537,0))</f>
        <v>yes</v>
      </c>
      <c r="DA384" s="127">
        <f>INDEX('NM O&amp;G Production'!$K$3:$O$537,MATCH($CY384,'NM O&amp;G Production'!$P$3:$P$537,0),MATCH(DA$2,'NM O&amp;G Production'!$K$2:$O$2,0))</f>
        <v>2</v>
      </c>
      <c r="DB384" s="127">
        <f>INDEX('NM O&amp;G Production'!$K$3:$O$537,MATCH($CY384,'NM O&amp;G Production'!$P$3:$P$537,0),MATCH(DB$2,'NM O&amp;G Production'!$K$2:$O$2,0))</f>
        <v>12</v>
      </c>
      <c r="DC384" s="127">
        <f>DA384+DB384</f>
        <v>14</v>
      </c>
      <c r="DD384" s="127">
        <f>INDEX('NM O&amp;G Production'!$K$3:$O$537,MATCH($CY384,'NM O&amp;G Production'!$P$3:$P$537,0),MATCH(DD$2,'NM O&amp;G Production'!$K$2:$O$2,0))</f>
        <v>207117</v>
      </c>
      <c r="DE384" s="127">
        <f>INDEX('NM O&amp;G Production'!$K$3:$O$537,MATCH($CY384,'NM O&amp;G Production'!$P$3:$P$537,0),MATCH(DE$2,'NM O&amp;G Production'!$K$2:$O$2,0))</f>
        <v>34</v>
      </c>
      <c r="DF384" s="258">
        <f>CK384/(DB384+DA384)</f>
        <v>9375</v>
      </c>
      <c r="DG384" s="57">
        <f>DD384*(12/18)*1.06*'Oil and Gas Prices'!$C$18</f>
        <v>349806.8052</v>
      </c>
      <c r="DH384" s="284">
        <f>DE384*(12/18)*'Oil and Gas Prices'!$C$4</f>
        <v>1019.9999999999999</v>
      </c>
      <c r="DI384" s="284">
        <f>DG384+DH384</f>
        <v>350826.8052</v>
      </c>
      <c r="DJ384" s="57">
        <f>(DG384+DH384)/(DA384+DB384)</f>
        <v>25059.057514285716</v>
      </c>
      <c r="DK384" s="318"/>
    </row>
    <row r="385" spans="1:115" x14ac:dyDescent="0.25">
      <c r="A385" t="s">
        <v>3147</v>
      </c>
      <c r="B385" t="s">
        <v>3148</v>
      </c>
      <c r="D385" t="s">
        <v>1203</v>
      </c>
      <c r="E385" t="s">
        <v>184</v>
      </c>
      <c r="F385">
        <v>73083</v>
      </c>
      <c r="G385" t="s">
        <v>62</v>
      </c>
      <c r="I385">
        <v>462</v>
      </c>
      <c r="J385" t="s">
        <v>89</v>
      </c>
      <c r="K385" t="s">
        <v>4133</v>
      </c>
      <c r="L385" t="s">
        <v>279</v>
      </c>
      <c r="M385">
        <v>8</v>
      </c>
      <c r="N385" t="s">
        <v>3149</v>
      </c>
      <c r="O385" t="s">
        <v>3150</v>
      </c>
      <c r="Q385" t="s">
        <v>3151</v>
      </c>
      <c r="R385" t="s">
        <v>1203</v>
      </c>
      <c r="S385" t="s">
        <v>188</v>
      </c>
      <c r="T385" t="s">
        <v>3152</v>
      </c>
      <c r="U385" t="s">
        <v>62</v>
      </c>
      <c r="W385" s="1">
        <v>130000</v>
      </c>
      <c r="X385">
        <v>2</v>
      </c>
      <c r="Y385">
        <v>2</v>
      </c>
      <c r="Z385">
        <v>2001</v>
      </c>
      <c r="AA385" t="s">
        <v>70</v>
      </c>
      <c r="AD385" t="s">
        <v>494</v>
      </c>
      <c r="AE385">
        <v>8741</v>
      </c>
      <c r="AF385" t="s">
        <v>495</v>
      </c>
      <c r="AI385">
        <v>87410000</v>
      </c>
      <c r="AJ385" t="s">
        <v>496</v>
      </c>
      <c r="AM385">
        <v>561110</v>
      </c>
      <c r="AN385" t="s">
        <v>497</v>
      </c>
      <c r="AQ385" t="s">
        <v>75</v>
      </c>
      <c r="AT385" t="s">
        <v>76</v>
      </c>
      <c r="BF385">
        <v>0</v>
      </c>
      <c r="BG385">
        <v>0</v>
      </c>
      <c r="CK385" s="19">
        <f>IF(BQ385&gt;0,BQ385,W385)</f>
        <v>130000</v>
      </c>
      <c r="CL385" s="20">
        <f>IF(BS385&gt;0,BS385,Y385)</f>
        <v>2</v>
      </c>
      <c r="CM385" s="34">
        <f>IF(CG385&gt;0,CG385,AM385)</f>
        <v>561110</v>
      </c>
      <c r="CN385" s="80">
        <f>IF($BH385="",1,COUNTIF($BH$3:$BH385,$BH385))</f>
        <v>1</v>
      </c>
      <c r="CP385" t="str">
        <f>IF($K385="Standard Match","Match",IF($K385="Name Only Match",IF($CO385="Yes","Match","Name Only Match"),"No Match"))</f>
        <v>Match</v>
      </c>
      <c r="CQ385" s="35" t="str">
        <f>IF(AND(CP385="Match",CK385&gt;0,CL385&gt;0),"Y","N")</f>
        <v>Y</v>
      </c>
      <c r="CS385" t="str">
        <f>IF($CQ385="Y",VLOOKUP($CM385,'SBA Size Standards'!$B$3:$G$57,MATCH('SBA Size Standards'!$G$3,'SBA Size Standards'!$B$3:$G$3,0),FALSE),"")</f>
        <v>Revenue</v>
      </c>
      <c r="CT385" s="60">
        <f>IF(CQ385="Y",IF($CS385="Employment","N/A",VLOOKUP($CM385,'SBA Size Standards'!$B$3:$G$57,MATCH('SBA Size Standards'!$E$3,'SBA Size Standards'!$B$3:$G$3,0),FALSE)),"")</f>
        <v>8000000</v>
      </c>
      <c r="CU385" s="86" t="str">
        <f>IF($CQ385="Y",IF($CS385="Revenue","N/A",VLOOKUP($CM385,'SBA Size Standards'!$B$3:$G$57,MATCH('SBA Size Standards'!$F$3,'SBA Size Standards'!$B$3:$G$3,0),FALSE)),"")</f>
        <v>N/A</v>
      </c>
      <c r="CV385" t="str">
        <f>IF($CQ385="Y",IF(OR(AND($CS385="Employment",$CL385&lt;$CU385),AND($CS385="Revenue",$CK385&lt;$CT385)),"YES","NO"),"")</f>
        <v>YES</v>
      </c>
      <c r="CW385" s="90" t="str">
        <f>IF($CQ385="Y",INDEX('SBA Size Standards'!$N$3:$N$12,MATCH($CK385,'SBA Size Standards'!$O$3:$O$12,1)),"")</f>
        <v>$100,001 - $500,000</v>
      </c>
      <c r="CX385" s="122" t="s">
        <v>4907</v>
      </c>
      <c r="CY385" s="122">
        <f>INDEX('NM O&amp;G Production'!$P$3:$P$537,MATCH(CX385,'NM O&amp;G Production'!$Q$3:$Q$537,0))</f>
        <v>462</v>
      </c>
      <c r="CZ385" s="122" t="str">
        <f>INDEX('NM O&amp;G Production'!$O$3:$O$537,MATCH(CY385,'NM O&amp;G Production'!$P$3:$P$537,0))</f>
        <v>Yes</v>
      </c>
      <c r="DA385" s="127">
        <f>INDEX('NM O&amp;G Production'!$K$3:$O$537,MATCH($CY385,'NM O&amp;G Production'!$P$3:$P$537,0),MATCH(DA$2,'NM O&amp;G Production'!$K$2:$O$2,0))</f>
        <v>0</v>
      </c>
      <c r="DB385" s="127">
        <f>INDEX('NM O&amp;G Production'!$K$3:$O$537,MATCH($CY385,'NM O&amp;G Production'!$P$3:$P$537,0),MATCH(DB$2,'NM O&amp;G Production'!$K$2:$O$2,0))</f>
        <v>2</v>
      </c>
      <c r="DC385" s="127">
        <f>DA385+DB385</f>
        <v>2</v>
      </c>
      <c r="DD385" s="127">
        <f>INDEX('NM O&amp;G Production'!$K$3:$O$537,MATCH($CY385,'NM O&amp;G Production'!$P$3:$P$537,0),MATCH(DD$2,'NM O&amp;G Production'!$K$2:$O$2,0))</f>
        <v>0</v>
      </c>
      <c r="DE385" s="127">
        <f>INDEX('NM O&amp;G Production'!$K$3:$O$537,MATCH($CY385,'NM O&amp;G Production'!$P$3:$P$537,0),MATCH(DE$2,'NM O&amp;G Production'!$K$2:$O$2,0))</f>
        <v>511</v>
      </c>
      <c r="DF385" s="258">
        <f>CK385/(DB385+DA385)</f>
        <v>65000</v>
      </c>
      <c r="DG385" s="57">
        <f>DD385*(12/18)*1.06*'Oil and Gas Prices'!$C$18</f>
        <v>0</v>
      </c>
      <c r="DH385" s="284">
        <f>DE385*(12/18)*'Oil and Gas Prices'!$C$4</f>
        <v>15329.999999999998</v>
      </c>
      <c r="DI385" s="284">
        <f>DG385+DH385</f>
        <v>15329.999999999998</v>
      </c>
      <c r="DJ385" s="57">
        <f>(DG385+DH385)/(DA385+DB385)</f>
        <v>7664.9999999999991</v>
      </c>
      <c r="DK385" s="319"/>
    </row>
    <row r="386" spans="1:115" x14ac:dyDescent="0.25">
      <c r="A386" t="s">
        <v>1867</v>
      </c>
      <c r="B386" t="s">
        <v>1868</v>
      </c>
      <c r="D386" t="s">
        <v>1869</v>
      </c>
      <c r="E386" t="s">
        <v>265</v>
      </c>
      <c r="F386">
        <v>90210</v>
      </c>
      <c r="G386" t="s">
        <v>62</v>
      </c>
      <c r="I386">
        <v>257</v>
      </c>
      <c r="J386" t="s">
        <v>404</v>
      </c>
      <c r="K386" t="s">
        <v>4134</v>
      </c>
      <c r="L386" t="s">
        <v>3627</v>
      </c>
      <c r="M386">
        <v>8</v>
      </c>
      <c r="N386" t="s">
        <v>3663</v>
      </c>
      <c r="O386" s="21" t="s">
        <v>3664</v>
      </c>
      <c r="Q386" t="s">
        <v>3665</v>
      </c>
      <c r="R386" t="s">
        <v>3666</v>
      </c>
      <c r="S386" t="s">
        <v>3662</v>
      </c>
      <c r="T386" t="s">
        <v>3667</v>
      </c>
      <c r="U386" t="s">
        <v>62</v>
      </c>
      <c r="V386">
        <v>3105560161</v>
      </c>
      <c r="W386" s="1">
        <v>130000</v>
      </c>
      <c r="X386">
        <v>2</v>
      </c>
      <c r="Y386">
        <v>2</v>
      </c>
      <c r="AA386" t="s">
        <v>70</v>
      </c>
      <c r="AB386" t="s">
        <v>3664</v>
      </c>
      <c r="AC386" t="s">
        <v>483</v>
      </c>
      <c r="AD386" t="s">
        <v>3636</v>
      </c>
      <c r="AE386">
        <v>8111</v>
      </c>
      <c r="AF386" t="s">
        <v>3637</v>
      </c>
      <c r="AI386">
        <v>81119902</v>
      </c>
      <c r="AJ386" t="s">
        <v>3668</v>
      </c>
      <c r="AM386">
        <v>541110</v>
      </c>
      <c r="AN386" t="s">
        <v>3638</v>
      </c>
      <c r="AQ386" t="s">
        <v>75</v>
      </c>
      <c r="AT386" t="s">
        <v>76</v>
      </c>
      <c r="BF386">
        <v>0</v>
      </c>
      <c r="BG386">
        <v>0</v>
      </c>
      <c r="CK386" s="19">
        <f>IF(BQ386&gt;0,BQ386,W386)</f>
        <v>130000</v>
      </c>
      <c r="CL386" s="20">
        <f>IF(BS386&gt;0,BS386,Y386)</f>
        <v>2</v>
      </c>
      <c r="CM386" s="34">
        <f>IF(CG386&gt;0,CG386,AM386)</f>
        <v>541110</v>
      </c>
      <c r="CN386" s="80">
        <f>IF($BH386="",1,COUNTIF($BH$3:$BH386,$BH386))</f>
        <v>1</v>
      </c>
      <c r="CO386" s="33" t="s">
        <v>4386</v>
      </c>
      <c r="CP386" t="str">
        <f>IF($K386="Standard Match","Match",IF($K386="Name Only Match",IF($CO386="Yes","Match","Name Only Match"),"No Match"))</f>
        <v>Match</v>
      </c>
      <c r="CQ386" s="35" t="str">
        <f>IF(AND(CP386="Match",CK386&gt;0,CL386&gt;0),"Y","N")</f>
        <v>Y</v>
      </c>
      <c r="CS386" t="str">
        <f>IF($CQ386="Y",VLOOKUP($CM386,'SBA Size Standards'!$B$3:$G$57,MATCH('SBA Size Standards'!$G$3,'SBA Size Standards'!$B$3:$G$3,0),FALSE),"")</f>
        <v>Revenue</v>
      </c>
      <c r="CT386" s="60">
        <f>IF(CQ386="Y",IF($CS386="Employment","N/A",VLOOKUP($CM386,'SBA Size Standards'!$B$3:$G$57,MATCH('SBA Size Standards'!$E$3,'SBA Size Standards'!$B$3:$G$3,0),FALSE)),"")</f>
        <v>12000000</v>
      </c>
      <c r="CU386" s="86" t="str">
        <f>IF($CQ386="Y",IF($CS386="Revenue","N/A",VLOOKUP($CM386,'SBA Size Standards'!$B$3:$G$57,MATCH('SBA Size Standards'!$F$3,'SBA Size Standards'!$B$3:$G$3,0),FALSE)),"")</f>
        <v>N/A</v>
      </c>
      <c r="CV386" t="str">
        <f>IF($CQ386="Y",IF(OR(AND($CS386="Employment",$CL386&lt;$CU386),AND($CS386="Revenue",$CK386&lt;$CT386)),"YES","NO"),"")</f>
        <v>YES</v>
      </c>
      <c r="CW386" s="90" t="str">
        <f>IF($CQ386="Y",INDEX('SBA Size Standards'!$N$3:$N$12,MATCH($CK386,'SBA Size Standards'!$O$3:$O$12,1)),"")</f>
        <v>$100,001 - $500,000</v>
      </c>
      <c r="CX386" s="122" t="s">
        <v>4969</v>
      </c>
      <c r="CY386" s="122">
        <f>INDEX('NM O&amp;G Production'!$P$3:$P$537,MATCH(CX386,'NM O&amp;G Production'!$Q$3:$Q$537,0))</f>
        <v>257</v>
      </c>
      <c r="CZ386" s="122" t="str">
        <f>INDEX('NM O&amp;G Production'!$O$3:$O$537,MATCH(CY386,'NM O&amp;G Production'!$P$3:$P$537,0))</f>
        <v>Yes</v>
      </c>
      <c r="DA386" s="127">
        <f>INDEX('NM O&amp;G Production'!$K$3:$O$537,MATCH($CY386,'NM O&amp;G Production'!$P$3:$P$537,0),MATCH(DA$2,'NM O&amp;G Production'!$K$2:$O$2,0))</f>
        <v>0</v>
      </c>
      <c r="DB386" s="127">
        <f>INDEX('NM O&amp;G Production'!$K$3:$O$537,MATCH($CY386,'NM O&amp;G Production'!$P$3:$P$537,0),MATCH(DB$2,'NM O&amp;G Production'!$K$2:$O$2,0))</f>
        <v>2</v>
      </c>
      <c r="DC386" s="127">
        <f>DA386+DB386</f>
        <v>2</v>
      </c>
      <c r="DD386" s="127">
        <f>INDEX('NM O&amp;G Production'!$K$3:$O$537,MATCH($CY386,'NM O&amp;G Production'!$P$3:$P$537,0),MATCH(DD$2,'NM O&amp;G Production'!$K$2:$O$2,0))</f>
        <v>8534</v>
      </c>
      <c r="DE386" s="127">
        <f>INDEX('NM O&amp;G Production'!$K$3:$O$537,MATCH($CY386,'NM O&amp;G Production'!$P$3:$P$537,0),MATCH(DE$2,'NM O&amp;G Production'!$K$2:$O$2,0))</f>
        <v>0</v>
      </c>
      <c r="DF386" s="258">
        <f>CK386/(DB386+DA386)</f>
        <v>65000</v>
      </c>
      <c r="DG386" s="57">
        <f>DD386*(12/18)*1.06*'Oil and Gas Prices'!$C$18</f>
        <v>14413.357066666667</v>
      </c>
      <c r="DH386" s="284">
        <f>DE386*(12/18)*'Oil and Gas Prices'!$C$4</f>
        <v>0</v>
      </c>
      <c r="DI386" s="284">
        <f>DG386+DH386</f>
        <v>14413.357066666667</v>
      </c>
      <c r="DJ386" s="57">
        <f>(DG386+DH386)/(DA386+DB386)</f>
        <v>7206.6785333333337</v>
      </c>
      <c r="DK386" s="319"/>
    </row>
    <row r="387" spans="1:115" x14ac:dyDescent="0.25">
      <c r="A387" t="s">
        <v>484</v>
      </c>
      <c r="B387" t="s">
        <v>485</v>
      </c>
      <c r="D387" t="s">
        <v>486</v>
      </c>
      <c r="E387" t="s">
        <v>487</v>
      </c>
      <c r="F387">
        <v>42129</v>
      </c>
      <c r="G387" t="s">
        <v>62</v>
      </c>
      <c r="I387">
        <v>60</v>
      </c>
      <c r="J387" t="s">
        <v>404</v>
      </c>
      <c r="K387" t="s">
        <v>4133</v>
      </c>
      <c r="L387" t="s">
        <v>64</v>
      </c>
      <c r="M387">
        <v>10</v>
      </c>
      <c r="N387" t="s">
        <v>488</v>
      </c>
      <c r="O387" t="s">
        <v>489</v>
      </c>
      <c r="Q387" t="s">
        <v>490</v>
      </c>
      <c r="R387" t="s">
        <v>486</v>
      </c>
      <c r="S387" t="s">
        <v>491</v>
      </c>
      <c r="T387" t="s">
        <v>492</v>
      </c>
      <c r="U387" t="s">
        <v>62</v>
      </c>
      <c r="W387" s="1">
        <v>130000</v>
      </c>
      <c r="X387">
        <v>2</v>
      </c>
      <c r="Y387">
        <v>2</v>
      </c>
      <c r="AA387" t="s">
        <v>70</v>
      </c>
      <c r="AB387" t="s">
        <v>493</v>
      </c>
      <c r="AC387" t="s">
        <v>98</v>
      </c>
      <c r="AD387" t="s">
        <v>494</v>
      </c>
      <c r="AE387">
        <v>8741</v>
      </c>
      <c r="AF387" t="s">
        <v>495</v>
      </c>
      <c r="AI387">
        <v>87410000</v>
      </c>
      <c r="AJ387" t="s">
        <v>496</v>
      </c>
      <c r="AM387">
        <v>561110</v>
      </c>
      <c r="AN387" t="s">
        <v>497</v>
      </c>
      <c r="AQ387" t="s">
        <v>75</v>
      </c>
      <c r="AT387" t="s">
        <v>76</v>
      </c>
      <c r="BF387">
        <v>0</v>
      </c>
      <c r="BG387">
        <v>0</v>
      </c>
      <c r="CK387" s="19">
        <f>IF(BQ387&gt;0,BQ387,W387)</f>
        <v>130000</v>
      </c>
      <c r="CL387" s="20">
        <f>IF(BS387&gt;0,BS387,Y387)</f>
        <v>2</v>
      </c>
      <c r="CM387" s="34">
        <f>IF(CG387&gt;0,CG387,AM387)</f>
        <v>561110</v>
      </c>
      <c r="CN387" s="80">
        <f>IF($BH387="",1,COUNTIF($BH$3:$BH387,$BH387))</f>
        <v>1</v>
      </c>
      <c r="CP387" t="str">
        <f>IF($K387="Standard Match","Match",IF($K387="Name Only Match",IF($CO387="Yes","Match","Name Only Match"),"No Match"))</f>
        <v>Match</v>
      </c>
      <c r="CQ387" s="35" t="str">
        <f>IF(AND(CP387="Match",CK387&gt;0,CL387&gt;0),"Y","N")</f>
        <v>Y</v>
      </c>
      <c r="CS387" t="str">
        <f>IF($CQ387="Y",VLOOKUP($CM387,'SBA Size Standards'!$B$3:$G$57,MATCH('SBA Size Standards'!$G$3,'SBA Size Standards'!$B$3:$G$3,0),FALSE),"")</f>
        <v>Revenue</v>
      </c>
      <c r="CT387" s="60">
        <f>IF(CQ387="Y",IF($CS387="Employment","N/A",VLOOKUP($CM387,'SBA Size Standards'!$B$3:$G$57,MATCH('SBA Size Standards'!$E$3,'SBA Size Standards'!$B$3:$G$3,0),FALSE)),"")</f>
        <v>8000000</v>
      </c>
      <c r="CU387" s="86" t="str">
        <f>IF($CQ387="Y",IF($CS387="Revenue","N/A",VLOOKUP($CM387,'SBA Size Standards'!$B$3:$G$57,MATCH('SBA Size Standards'!$F$3,'SBA Size Standards'!$B$3:$G$3,0),FALSE)),"")</f>
        <v>N/A</v>
      </c>
      <c r="CV387" t="str">
        <f>IF($CQ387="Y",IF(OR(AND($CS387="Employment",$CL387&lt;$CU387),AND($CS387="Revenue",$CK387&lt;$CT387)),"YES","NO"),"")</f>
        <v>YES</v>
      </c>
      <c r="CW387" s="90" t="str">
        <f>IF($CQ387="Y",INDEX('SBA Size Standards'!$N$3:$N$12,MATCH($CK387,'SBA Size Standards'!$O$3:$O$12,1)),"")</f>
        <v>$100,001 - $500,000</v>
      </c>
      <c r="CX387" s="122" t="s">
        <v>4557</v>
      </c>
      <c r="CY387" s="122">
        <f>INDEX('NM O&amp;G Production'!$P$3:$P$537,MATCH(CX387,'NM O&amp;G Production'!$Q$3:$Q$537,0))</f>
        <v>60</v>
      </c>
      <c r="CZ387" s="122" t="str">
        <f>INDEX('NM O&amp;G Production'!$O$3:$O$537,MATCH(CY387,'NM O&amp;G Production'!$P$3:$P$537,0))</f>
        <v>Yes</v>
      </c>
      <c r="DA387" s="127">
        <f>INDEX('NM O&amp;G Production'!$K$3:$O$537,MATCH($CY387,'NM O&amp;G Production'!$P$3:$P$537,0),MATCH(DA$2,'NM O&amp;G Production'!$K$2:$O$2,0))</f>
        <v>1</v>
      </c>
      <c r="DB387" s="127">
        <f>INDEX('NM O&amp;G Production'!$K$3:$O$537,MATCH($CY387,'NM O&amp;G Production'!$P$3:$P$537,0),MATCH(DB$2,'NM O&amp;G Production'!$K$2:$O$2,0))</f>
        <v>1</v>
      </c>
      <c r="DC387" s="127">
        <f>DA387+DB387</f>
        <v>2</v>
      </c>
      <c r="DD387" s="127">
        <f>INDEX('NM O&amp;G Production'!$K$3:$O$537,MATCH($CY387,'NM O&amp;G Production'!$P$3:$P$537,0),MATCH(DD$2,'NM O&amp;G Production'!$K$2:$O$2,0))</f>
        <v>0</v>
      </c>
      <c r="DE387" s="127">
        <f>INDEX('NM O&amp;G Production'!$K$3:$O$537,MATCH($CY387,'NM O&amp;G Production'!$P$3:$P$537,0),MATCH(DE$2,'NM O&amp;G Production'!$K$2:$O$2,0))</f>
        <v>108</v>
      </c>
      <c r="DF387" s="258">
        <f>CK387/(DB387+DA387)</f>
        <v>65000</v>
      </c>
      <c r="DG387" s="57">
        <f>DD387*(12/18)*1.06*'Oil and Gas Prices'!$C$18</f>
        <v>0</v>
      </c>
      <c r="DH387" s="284">
        <f>DE387*(12/18)*'Oil and Gas Prices'!$C$4</f>
        <v>3240</v>
      </c>
      <c r="DI387" s="284">
        <f>DG387+DH387</f>
        <v>3240</v>
      </c>
      <c r="DJ387" s="57">
        <f>(DG387+DH387)/(DA387+DB387)</f>
        <v>1620</v>
      </c>
      <c r="DK387" s="319"/>
    </row>
    <row r="388" spans="1:115" x14ac:dyDescent="0.25">
      <c r="A388" t="s">
        <v>2434</v>
      </c>
      <c r="B388" t="s">
        <v>2435</v>
      </c>
      <c r="D388" t="s">
        <v>83</v>
      </c>
      <c r="E388" t="s">
        <v>84</v>
      </c>
      <c r="F388">
        <v>88210</v>
      </c>
      <c r="G388" t="s">
        <v>62</v>
      </c>
      <c r="I388">
        <v>348</v>
      </c>
      <c r="J388" t="s">
        <v>392</v>
      </c>
      <c r="K388" t="s">
        <v>4133</v>
      </c>
      <c r="L388" t="s">
        <v>113</v>
      </c>
      <c r="M388">
        <v>8</v>
      </c>
      <c r="N388" t="s">
        <v>2436</v>
      </c>
      <c r="O388" t="s">
        <v>2437</v>
      </c>
      <c r="Q388" t="s">
        <v>2438</v>
      </c>
      <c r="R388" t="s">
        <v>83</v>
      </c>
      <c r="S388" t="s">
        <v>214</v>
      </c>
      <c r="T388" t="s">
        <v>2439</v>
      </c>
      <c r="U388" t="s">
        <v>62</v>
      </c>
      <c r="V388">
        <v>5757464651</v>
      </c>
      <c r="W388" s="1">
        <v>123467</v>
      </c>
      <c r="X388">
        <v>2</v>
      </c>
      <c r="Y388">
        <v>2</v>
      </c>
      <c r="Z388">
        <v>2010</v>
      </c>
      <c r="AA388" t="s">
        <v>70</v>
      </c>
      <c r="AB388" t="s">
        <v>2437</v>
      </c>
      <c r="AC388" t="s">
        <v>231</v>
      </c>
      <c r="AD388" t="s">
        <v>1300</v>
      </c>
      <c r="AE388">
        <v>7389</v>
      </c>
      <c r="AF388" t="s">
        <v>1301</v>
      </c>
      <c r="AI388">
        <v>73899999</v>
      </c>
      <c r="AJ388" t="s">
        <v>1935</v>
      </c>
      <c r="AM388">
        <v>561990</v>
      </c>
      <c r="AN388" t="s">
        <v>1936</v>
      </c>
      <c r="AQ388" t="s">
        <v>75</v>
      </c>
      <c r="AT388" t="s">
        <v>76</v>
      </c>
      <c r="BF388">
        <v>0</v>
      </c>
      <c r="BG388">
        <v>0</v>
      </c>
      <c r="CK388" s="19">
        <f>IF(BQ388&gt;0,BQ388,W388)</f>
        <v>123467</v>
      </c>
      <c r="CL388" s="20">
        <f>IF(BS388&gt;0,BS388,Y388)</f>
        <v>2</v>
      </c>
      <c r="CM388" s="34">
        <f>IF(CG388&gt;0,CG388,AM388)</f>
        <v>561990</v>
      </c>
      <c r="CN388" s="80">
        <f>IF($BH388="",1,COUNTIF($BH$3:$BH388,$BH388))</f>
        <v>1</v>
      </c>
      <c r="CP388" t="str">
        <f>IF($K388="Standard Match","Match",IF($K388="Name Only Match",IF($CO388="Yes","Match","Name Only Match"),"No Match"))</f>
        <v>Match</v>
      </c>
      <c r="CQ388" s="35" t="str">
        <f>IF(AND(CP388="Match",CK388&gt;0,CL388&gt;0),"Y","N")</f>
        <v>Y</v>
      </c>
      <c r="CS388" t="str">
        <f>IF($CQ388="Y",VLOOKUP($CM388,'SBA Size Standards'!$B$3:$G$57,MATCH('SBA Size Standards'!$G$3,'SBA Size Standards'!$B$3:$G$3,0),FALSE),"")</f>
        <v>Revenue</v>
      </c>
      <c r="CT388" s="60">
        <f>IF(CQ388="Y",IF($CS388="Employment","N/A",VLOOKUP($CM388,'SBA Size Standards'!$B$3:$G$57,MATCH('SBA Size Standards'!$E$3,'SBA Size Standards'!$B$3:$G$3,0),FALSE)),"")</f>
        <v>12000000</v>
      </c>
      <c r="CU388" s="86" t="str">
        <f>IF($CQ388="Y",IF($CS388="Revenue","N/A",VLOOKUP($CM388,'SBA Size Standards'!$B$3:$G$57,MATCH('SBA Size Standards'!$F$3,'SBA Size Standards'!$B$3:$G$3,0),FALSE)),"")</f>
        <v>N/A</v>
      </c>
      <c r="CV388" t="str">
        <f>IF($CQ388="Y",IF(OR(AND($CS388="Employment",$CL388&lt;$CU388),AND($CS388="Revenue",$CK388&lt;$CT388)),"YES","NO"),"")</f>
        <v>YES</v>
      </c>
      <c r="CW388" s="90" t="str">
        <f>IF($CQ388="Y",INDEX('SBA Size Standards'!$N$3:$N$12,MATCH($CK388,'SBA Size Standards'!$O$3:$O$12,1)),"")</f>
        <v>$100,001 - $500,000</v>
      </c>
      <c r="CX388" s="122" t="s">
        <v>4881</v>
      </c>
      <c r="CY388" s="122">
        <f>INDEX('NM O&amp;G Production'!$P$3:$P$537,MATCH(CX388,'NM O&amp;G Production'!$Q$3:$Q$537,0))</f>
        <v>348</v>
      </c>
      <c r="CZ388" s="122" t="str">
        <f>INDEX('NM O&amp;G Production'!$O$3:$O$537,MATCH(CY388,'NM O&amp;G Production'!$P$3:$P$537,0))</f>
        <v>Yes</v>
      </c>
      <c r="DA388" s="127">
        <f>INDEX('NM O&amp;G Production'!$K$3:$O$537,MATCH($CY388,'NM O&amp;G Production'!$P$3:$P$537,0),MATCH(DA$2,'NM O&amp;G Production'!$K$2:$O$2,0))</f>
        <v>0</v>
      </c>
      <c r="DB388" s="127">
        <f>INDEX('NM O&amp;G Production'!$K$3:$O$537,MATCH($CY388,'NM O&amp;G Production'!$P$3:$P$537,0),MATCH(DB$2,'NM O&amp;G Production'!$K$2:$O$2,0))</f>
        <v>2</v>
      </c>
      <c r="DC388" s="127">
        <f>DA388+DB388</f>
        <v>2</v>
      </c>
      <c r="DD388" s="127">
        <f>INDEX('NM O&amp;G Production'!$K$3:$O$537,MATCH($CY388,'NM O&amp;G Production'!$P$3:$P$537,0),MATCH(DD$2,'NM O&amp;G Production'!$K$2:$O$2,0))</f>
        <v>0</v>
      </c>
      <c r="DE388" s="127">
        <f>INDEX('NM O&amp;G Production'!$K$3:$O$537,MATCH($CY388,'NM O&amp;G Production'!$P$3:$P$537,0),MATCH(DE$2,'NM O&amp;G Production'!$K$2:$O$2,0))</f>
        <v>57</v>
      </c>
      <c r="DF388" s="258">
        <f>CK388/(DB388+DA388)</f>
        <v>61733.5</v>
      </c>
      <c r="DG388" s="57">
        <f>DD388*(12/18)*1.06*'Oil and Gas Prices'!$C$18</f>
        <v>0</v>
      </c>
      <c r="DH388" s="284">
        <f>DE388*(12/18)*'Oil and Gas Prices'!$C$4</f>
        <v>1710</v>
      </c>
      <c r="DI388" s="284">
        <f>DG388+DH388</f>
        <v>1710</v>
      </c>
      <c r="DJ388" s="57">
        <f>(DG388+DH388)/(DA388+DB388)</f>
        <v>855</v>
      </c>
      <c r="DK388" s="319"/>
    </row>
    <row r="389" spans="1:115" x14ac:dyDescent="0.25">
      <c r="A389" t="s">
        <v>2797</v>
      </c>
      <c r="B389" t="s">
        <v>2798</v>
      </c>
      <c r="D389" t="s">
        <v>378</v>
      </c>
      <c r="E389" t="s">
        <v>80</v>
      </c>
      <c r="F389">
        <v>75252</v>
      </c>
      <c r="G389" t="s">
        <v>62</v>
      </c>
      <c r="I389">
        <v>406</v>
      </c>
      <c r="J389" t="s">
        <v>63</v>
      </c>
      <c r="K389" t="s">
        <v>4133</v>
      </c>
      <c r="L389" t="s">
        <v>64</v>
      </c>
      <c r="M389">
        <v>10</v>
      </c>
      <c r="N389" t="s">
        <v>2799</v>
      </c>
      <c r="O389" t="s">
        <v>2800</v>
      </c>
      <c r="P389" t="s">
        <v>2801</v>
      </c>
      <c r="Q389" t="s">
        <v>2802</v>
      </c>
      <c r="R389" t="s">
        <v>378</v>
      </c>
      <c r="S389" t="s">
        <v>94</v>
      </c>
      <c r="T389" t="s">
        <v>2803</v>
      </c>
      <c r="U389" t="s">
        <v>62</v>
      </c>
      <c r="V389">
        <v>2142349115</v>
      </c>
      <c r="W389" s="1">
        <v>120778</v>
      </c>
      <c r="X389">
        <v>5</v>
      </c>
      <c r="Y389">
        <v>5</v>
      </c>
      <c r="Z389">
        <v>2015</v>
      </c>
      <c r="AA389" t="s">
        <v>70</v>
      </c>
      <c r="AD389" t="s">
        <v>1320</v>
      </c>
      <c r="AE389">
        <v>2911</v>
      </c>
      <c r="AF389" t="s">
        <v>774</v>
      </c>
      <c r="AI389">
        <v>29110100</v>
      </c>
      <c r="AJ389" t="s">
        <v>2804</v>
      </c>
      <c r="AM389">
        <v>324110</v>
      </c>
      <c r="AN389" t="s">
        <v>776</v>
      </c>
      <c r="AQ389" t="s">
        <v>75</v>
      </c>
      <c r="AT389" t="s">
        <v>76</v>
      </c>
      <c r="BF389">
        <v>0</v>
      </c>
      <c r="BG389">
        <v>0</v>
      </c>
      <c r="CK389" s="19">
        <f>IF(BQ389&gt;0,BQ389,W389)</f>
        <v>120778</v>
      </c>
      <c r="CL389" s="20">
        <f>IF(BS389&gt;0,BS389,Y389)</f>
        <v>5</v>
      </c>
      <c r="CM389" s="34">
        <f>IF(CG389&gt;0,CG389,AM389)</f>
        <v>324110</v>
      </c>
      <c r="CN389" s="80">
        <f>IF($BH389="",1,COUNTIF($BH$3:$BH389,$BH389))</f>
        <v>1</v>
      </c>
      <c r="CP389" t="str">
        <f>IF($K389="Standard Match","Match",IF($K389="Name Only Match",IF($CO389="Yes","Match","Name Only Match"),"No Match"))</f>
        <v>Match</v>
      </c>
      <c r="CQ389" s="35" t="str">
        <f>IF(AND(CP389="Match",CK389&gt;0,CL389&gt;0),"Y","N")</f>
        <v>Y</v>
      </c>
      <c r="CS389" t="str">
        <f>IF($CQ389="Y",VLOOKUP($CM389,'SBA Size Standards'!$B$3:$G$57,MATCH('SBA Size Standards'!$G$3,'SBA Size Standards'!$B$3:$G$3,0),FALSE),"")</f>
        <v>Employment</v>
      </c>
      <c r="CT389" s="60" t="str">
        <f>IF(CQ389="Y",IF($CS389="Employment","N/A",VLOOKUP($CM389,'SBA Size Standards'!$B$3:$G$57,MATCH('SBA Size Standards'!$E$3,'SBA Size Standards'!$B$3:$G$3,0),FALSE)),"")</f>
        <v>N/A</v>
      </c>
      <c r="CU389" s="86">
        <f>IF($CQ389="Y",IF($CS389="Revenue","N/A",VLOOKUP($CM389,'SBA Size Standards'!$B$3:$G$57,MATCH('SBA Size Standards'!$F$3,'SBA Size Standards'!$B$3:$G$3,0),FALSE)),"")</f>
        <v>1500</v>
      </c>
      <c r="CV389" t="str">
        <f>IF($CQ389="Y",IF(OR(AND($CS389="Employment",$CL389&lt;$CU389),AND($CS389="Revenue",$CK389&lt;$CT389)),"YES","NO"),"")</f>
        <v>YES</v>
      </c>
      <c r="CW389" s="90" t="str">
        <f>IF($CQ389="Y",INDEX('SBA Size Standards'!$N$3:$N$12,MATCH($CK389,'SBA Size Standards'!$O$3:$O$12,1)),"")</f>
        <v>$100,001 - $500,000</v>
      </c>
      <c r="CX389" s="122" t="s">
        <v>4728</v>
      </c>
      <c r="CY389" s="122">
        <f>INDEX('NM O&amp;G Production'!$P$3:$P$537,MATCH(CX389,'NM O&amp;G Production'!$Q$3:$Q$537,0))</f>
        <v>406</v>
      </c>
      <c r="CZ389" s="122" t="str">
        <f>INDEX('NM O&amp;G Production'!$O$3:$O$537,MATCH(CY389,'NM O&amp;G Production'!$P$3:$P$537,0))</f>
        <v>Yes</v>
      </c>
      <c r="DA389" s="127">
        <f>INDEX('NM O&amp;G Production'!$K$3:$O$537,MATCH($CY389,'NM O&amp;G Production'!$P$3:$P$537,0),MATCH(DA$2,'NM O&amp;G Production'!$K$2:$O$2,0))</f>
        <v>16</v>
      </c>
      <c r="DB389" s="127">
        <f>INDEX('NM O&amp;G Production'!$K$3:$O$537,MATCH($CY389,'NM O&amp;G Production'!$P$3:$P$537,0),MATCH(DB$2,'NM O&amp;G Production'!$K$2:$O$2,0))</f>
        <v>202</v>
      </c>
      <c r="DC389" s="127">
        <f>DA389+DB389</f>
        <v>218</v>
      </c>
      <c r="DD389" s="127">
        <f>INDEX('NM O&amp;G Production'!$K$3:$O$537,MATCH($CY389,'NM O&amp;G Production'!$P$3:$P$537,0),MATCH(DD$2,'NM O&amp;G Production'!$K$2:$O$2,0))</f>
        <v>42247</v>
      </c>
      <c r="DE389" s="127">
        <f>INDEX('NM O&amp;G Production'!$K$3:$O$537,MATCH($CY389,'NM O&amp;G Production'!$P$3:$P$537,0),MATCH(DE$2,'NM O&amp;G Production'!$K$2:$O$2,0))</f>
        <v>107703</v>
      </c>
      <c r="DF389" s="258">
        <f>CK389/(DB389+DA389)</f>
        <v>554.02752293577987</v>
      </c>
      <c r="DG389" s="57">
        <f>DD389*(12/18)*1.06*'Oil and Gas Prices'!$C$18</f>
        <v>71352.366533333334</v>
      </c>
      <c r="DH389" s="284">
        <f>DE389*(12/18)*'Oil and Gas Prices'!$C$4</f>
        <v>3231090</v>
      </c>
      <c r="DI389" s="284">
        <f>DG389+DH389</f>
        <v>3302442.3665333334</v>
      </c>
      <c r="DJ389" s="57">
        <f>(DG389+DH389)/(DA389+DB389)</f>
        <v>15148.818195107035</v>
      </c>
      <c r="DK389" s="318"/>
    </row>
    <row r="390" spans="1:115" x14ac:dyDescent="0.25">
      <c r="A390" s="21" t="s">
        <v>121</v>
      </c>
      <c r="B390" t="s">
        <v>122</v>
      </c>
      <c r="D390" t="s">
        <v>123</v>
      </c>
      <c r="E390" t="s">
        <v>84</v>
      </c>
      <c r="F390">
        <v>87402</v>
      </c>
      <c r="G390" t="s">
        <v>62</v>
      </c>
      <c r="I390">
        <v>8</v>
      </c>
      <c r="J390" t="s">
        <v>63</v>
      </c>
      <c r="K390" t="s">
        <v>4134</v>
      </c>
      <c r="L390" t="s">
        <v>3627</v>
      </c>
      <c r="M390">
        <v>8</v>
      </c>
      <c r="N390" t="s">
        <v>3628</v>
      </c>
      <c r="O390" s="21" t="s">
        <v>5070</v>
      </c>
      <c r="Q390" t="s">
        <v>5071</v>
      </c>
      <c r="R390" t="s">
        <v>123</v>
      </c>
      <c r="S390" t="s">
        <v>214</v>
      </c>
      <c r="T390" t="s">
        <v>5072</v>
      </c>
      <c r="U390" t="s">
        <v>62</v>
      </c>
      <c r="V390">
        <v>5053251845</v>
      </c>
      <c r="W390" s="1">
        <v>120000</v>
      </c>
      <c r="X390">
        <v>3</v>
      </c>
      <c r="Y390">
        <v>3</v>
      </c>
      <c r="AA390" t="s">
        <v>70</v>
      </c>
      <c r="AB390" t="s">
        <v>5073</v>
      </c>
      <c r="AC390" t="s">
        <v>231</v>
      </c>
      <c r="AD390" t="s">
        <v>5074</v>
      </c>
      <c r="AE390">
        <v>4812</v>
      </c>
      <c r="AF390" t="s">
        <v>5075</v>
      </c>
      <c r="AI390">
        <v>48129901</v>
      </c>
      <c r="AJ390" t="s">
        <v>5076</v>
      </c>
      <c r="AM390">
        <v>517312</v>
      </c>
      <c r="AN390" t="s">
        <v>5077</v>
      </c>
      <c r="AQ390" t="s">
        <v>75</v>
      </c>
      <c r="AT390" t="s">
        <v>76</v>
      </c>
      <c r="BQ390" s="5"/>
      <c r="CK390" s="19">
        <f>IF(BQ390&gt;0,BQ390,W390)</f>
        <v>120000</v>
      </c>
      <c r="CL390" s="20">
        <f>IF(BS390&gt;0,BS390,Y390)</f>
        <v>3</v>
      </c>
      <c r="CM390" s="34">
        <f>IF(CG390&gt;0,CG390,AM390)</f>
        <v>517312</v>
      </c>
      <c r="CN390" s="80">
        <f>IF($BH390="",1,COUNTIF($BH$3:$BH390,$BH390))</f>
        <v>1</v>
      </c>
      <c r="CO390" s="33" t="s">
        <v>4386</v>
      </c>
      <c r="CP390" t="str">
        <f>IF($K390="Standard Match","Match",IF($K390="Name Only Match",IF($CO390="Yes","Match","Name Only Match"),"No Match"))</f>
        <v>Match</v>
      </c>
      <c r="CQ390" s="35" t="str">
        <f>IF(AND(CP390="Match",CK390&gt;0,CL390&gt;0),"Y","N")</f>
        <v>Y</v>
      </c>
      <c r="CR390" t="s">
        <v>5078</v>
      </c>
      <c r="CS390" t="str">
        <f>IF($CQ390="Y",VLOOKUP($CM390,'SBA Size Standards'!$B$3:$G$57,MATCH('SBA Size Standards'!$G$3,'SBA Size Standards'!$B$3:$G$3,0),FALSE),"")</f>
        <v>Employment</v>
      </c>
      <c r="CT390" s="60" t="str">
        <f>IF(CQ390="Y",IF($CS390="Employment","N/A",VLOOKUP($CM390,'SBA Size Standards'!$B$3:$G$57,MATCH('SBA Size Standards'!$E$3,'SBA Size Standards'!$B$3:$G$3,0),FALSE)),"")</f>
        <v>N/A</v>
      </c>
      <c r="CU390" s="86">
        <f>IF($CQ390="Y",IF($CS390="Revenue","N/A",VLOOKUP($CM390,'SBA Size Standards'!$B$3:$G$57,MATCH('SBA Size Standards'!$F$3,'SBA Size Standards'!$B$3:$G$3,0),FALSE)),"")</f>
        <v>1500</v>
      </c>
      <c r="CV390" t="str">
        <f>IF($CQ390="Y",IF(OR(AND($CS390="Employment",$CL390&lt;$CU390),AND($CS390="Revenue",$CK390&lt;$CT390)),"YES","NO"),"")</f>
        <v>YES</v>
      </c>
      <c r="CW390" s="90" t="str">
        <f>IF($CQ390="Y",INDEX('SBA Size Standards'!$N$3:$N$12,MATCH($CK390,'SBA Size Standards'!$O$3:$O$12,1)),"")</f>
        <v>$100,001 - $500,000</v>
      </c>
      <c r="CX390" s="122" t="s">
        <v>4928</v>
      </c>
      <c r="CY390" s="122">
        <f>INDEX('NM O&amp;G Production'!$P$3:$P$537,MATCH(CX390,'NM O&amp;G Production'!$Q$3:$Q$537,0))</f>
        <v>8</v>
      </c>
      <c r="CZ390" s="122" t="str">
        <f>INDEX('NM O&amp;G Production'!$O$3:$O$537,MATCH(CY390,'NM O&amp;G Production'!$P$3:$P$537,0))</f>
        <v>Yes</v>
      </c>
      <c r="DA390" s="127">
        <f>INDEX('NM O&amp;G Production'!$K$3:$O$537,MATCH($CY390,'NM O&amp;G Production'!$P$3:$P$537,0),MATCH(DA$2,'NM O&amp;G Production'!$K$2:$O$2,0))</f>
        <v>20</v>
      </c>
      <c r="DB390" s="127">
        <f>INDEX('NM O&amp;G Production'!$K$3:$O$537,MATCH($CY390,'NM O&amp;G Production'!$P$3:$P$537,0),MATCH(DB$2,'NM O&amp;G Production'!$K$2:$O$2,0))</f>
        <v>138</v>
      </c>
      <c r="DC390" s="127">
        <f>DA390+DB390</f>
        <v>158</v>
      </c>
      <c r="DD390" s="127">
        <f>INDEX('NM O&amp;G Production'!$K$3:$O$537,MATCH($CY390,'NM O&amp;G Production'!$P$3:$P$537,0),MATCH(DD$2,'NM O&amp;G Production'!$K$2:$O$2,0))</f>
        <v>923520</v>
      </c>
      <c r="DE390" s="127">
        <f>INDEX('NM O&amp;G Production'!$K$3:$O$537,MATCH($CY390,'NM O&amp;G Production'!$P$3:$P$537,0),MATCH(DE$2,'NM O&amp;G Production'!$K$2:$O$2,0))</f>
        <v>16284</v>
      </c>
      <c r="DF390" s="258">
        <f>CK390/(DB390+DA390)</f>
        <v>759.49367088607596</v>
      </c>
      <c r="DG390" s="57">
        <f>DD390*(12/18)*1.06*'Oil and Gas Prices'!$C$18</f>
        <v>1559763.7120000003</v>
      </c>
      <c r="DH390" s="284">
        <f>DE390*(12/18)*'Oil and Gas Prices'!$C$4</f>
        <v>488520</v>
      </c>
      <c r="DI390" s="284">
        <f>DG390+DH390</f>
        <v>2048283.7120000003</v>
      </c>
      <c r="DJ390" s="57">
        <f>(DG390+DH390)/(DA390+DB390)</f>
        <v>12963.820962025318</v>
      </c>
      <c r="DK390" s="318"/>
    </row>
    <row r="391" spans="1:115" x14ac:dyDescent="0.25">
      <c r="A391" t="s">
        <v>2748</v>
      </c>
      <c r="B391" t="s">
        <v>2749</v>
      </c>
      <c r="D391" t="s">
        <v>2266</v>
      </c>
      <c r="E391" t="s">
        <v>84</v>
      </c>
      <c r="F391">
        <v>88220</v>
      </c>
      <c r="G391" t="s">
        <v>62</v>
      </c>
      <c r="I391">
        <v>398</v>
      </c>
      <c r="J391" t="s">
        <v>63</v>
      </c>
      <c r="K391" t="s">
        <v>4133</v>
      </c>
      <c r="L391" t="s">
        <v>64</v>
      </c>
      <c r="M391">
        <v>10</v>
      </c>
      <c r="N391" t="s">
        <v>2750</v>
      </c>
      <c r="O391" t="s">
        <v>2751</v>
      </c>
      <c r="Q391" t="s">
        <v>2752</v>
      </c>
      <c r="R391" t="s">
        <v>2266</v>
      </c>
      <c r="S391" t="s">
        <v>214</v>
      </c>
      <c r="T391">
        <v>88220</v>
      </c>
      <c r="U391" t="s">
        <v>62</v>
      </c>
      <c r="V391">
        <v>5758856870</v>
      </c>
      <c r="W391" s="1">
        <v>117250</v>
      </c>
      <c r="X391">
        <v>1</v>
      </c>
      <c r="Y391">
        <v>1</v>
      </c>
      <c r="Z391">
        <v>1997</v>
      </c>
      <c r="AA391" t="s">
        <v>70</v>
      </c>
      <c r="AB391" t="s">
        <v>2753</v>
      </c>
      <c r="AC391" t="s">
        <v>231</v>
      </c>
      <c r="AD391" t="s">
        <v>99</v>
      </c>
      <c r="AE391">
        <v>1311</v>
      </c>
      <c r="AF391" t="s">
        <v>100</v>
      </c>
      <c r="AI391">
        <v>13110101</v>
      </c>
      <c r="AJ391" t="s">
        <v>102</v>
      </c>
      <c r="AM391">
        <v>211120</v>
      </c>
      <c r="AN391" t="s">
        <v>104</v>
      </c>
      <c r="AQ391" t="s">
        <v>75</v>
      </c>
      <c r="AT391" t="s">
        <v>76</v>
      </c>
      <c r="BF391">
        <v>0</v>
      </c>
      <c r="BG391">
        <v>0</v>
      </c>
      <c r="CK391" s="19">
        <f>IF(BQ391&gt;0,BQ391,W391)</f>
        <v>117250</v>
      </c>
      <c r="CL391" s="20">
        <f>IF(BS391&gt;0,BS391,Y391)</f>
        <v>1</v>
      </c>
      <c r="CM391" s="34">
        <f>IF(CG391&gt;0,CG391,AM391)</f>
        <v>211120</v>
      </c>
      <c r="CN391" s="80">
        <f>IF($BH391="",1,COUNTIF($BH$3:$BH391,$BH391))</f>
        <v>1</v>
      </c>
      <c r="CP391" t="str">
        <f>IF($K391="Standard Match","Match",IF($K391="Name Only Match",IF($CO391="Yes","Match","Name Only Match"),"No Match"))</f>
        <v>Match</v>
      </c>
      <c r="CQ391" s="35" t="str">
        <f>IF(AND(CP391="Match",CK391&gt;0,CL391&gt;0),"Y","N")</f>
        <v>Y</v>
      </c>
      <c r="CS391" t="str">
        <f>IF($CQ391="Y",VLOOKUP($CM391,'SBA Size Standards'!$B$3:$G$57,MATCH('SBA Size Standards'!$G$3,'SBA Size Standards'!$B$3:$G$3,0),FALSE),"")</f>
        <v>Employment</v>
      </c>
      <c r="CT391" s="60" t="str">
        <f>IF(CQ391="Y",IF($CS391="Employment","N/A",VLOOKUP($CM391,'SBA Size Standards'!$B$3:$G$57,MATCH('SBA Size Standards'!$E$3,'SBA Size Standards'!$B$3:$G$3,0),FALSE)),"")</f>
        <v>N/A</v>
      </c>
      <c r="CU391" s="86">
        <f>IF($CQ391="Y",IF($CS391="Revenue","N/A",VLOOKUP($CM391,'SBA Size Standards'!$B$3:$G$57,MATCH('SBA Size Standards'!$F$3,'SBA Size Standards'!$B$3:$G$3,0),FALSE)),"")</f>
        <v>1250</v>
      </c>
      <c r="CV391" t="str">
        <f>IF($CQ391="Y",IF(OR(AND($CS391="Employment",$CL391&lt;$CU391),AND($CS391="Revenue",$CK391&lt;$CT391)),"YES","NO"),"")</f>
        <v>YES</v>
      </c>
      <c r="CW391" s="90" t="str">
        <f>IF($CQ391="Y",INDEX('SBA Size Standards'!$N$3:$N$12,MATCH($CK391,'SBA Size Standards'!$O$3:$O$12,1)),"")</f>
        <v>$100,001 - $500,000</v>
      </c>
      <c r="CX391" s="122" t="s">
        <v>4723</v>
      </c>
      <c r="CY391" s="122">
        <f>INDEX('NM O&amp;G Production'!$P$3:$P$537,MATCH(CX391,'NM O&amp;G Production'!$Q$3:$Q$537,0))</f>
        <v>398</v>
      </c>
      <c r="CZ391" s="122" t="str">
        <f>INDEX('NM O&amp;G Production'!$O$3:$O$537,MATCH(CY391,'NM O&amp;G Production'!$P$3:$P$537,0))</f>
        <v>Yes</v>
      </c>
      <c r="DA391" s="127">
        <f>INDEX('NM O&amp;G Production'!$K$3:$O$537,MATCH($CY391,'NM O&amp;G Production'!$P$3:$P$537,0),MATCH(DA$2,'NM O&amp;G Production'!$K$2:$O$2,0))</f>
        <v>0</v>
      </c>
      <c r="DB391" s="127">
        <f>INDEX('NM O&amp;G Production'!$K$3:$O$537,MATCH($CY391,'NM O&amp;G Production'!$P$3:$P$537,0),MATCH(DB$2,'NM O&amp;G Production'!$K$2:$O$2,0))</f>
        <v>20</v>
      </c>
      <c r="DC391" s="127">
        <f>DA391+DB391</f>
        <v>20</v>
      </c>
      <c r="DD391" s="127">
        <f>INDEX('NM O&amp;G Production'!$K$3:$O$537,MATCH($CY391,'NM O&amp;G Production'!$P$3:$P$537,0),MATCH(DD$2,'NM O&amp;G Production'!$K$2:$O$2,0))</f>
        <v>0</v>
      </c>
      <c r="DE391" s="127">
        <f>INDEX('NM O&amp;G Production'!$K$3:$O$537,MATCH($CY391,'NM O&amp;G Production'!$P$3:$P$537,0),MATCH(DE$2,'NM O&amp;G Production'!$K$2:$O$2,0))</f>
        <v>16066</v>
      </c>
      <c r="DF391" s="258">
        <f>CK391/(DB391+DA391)</f>
        <v>5862.5</v>
      </c>
      <c r="DG391" s="57">
        <f>DD391*(12/18)*1.06*'Oil and Gas Prices'!$C$18</f>
        <v>0</v>
      </c>
      <c r="DH391" s="284">
        <f>DE391*(12/18)*'Oil and Gas Prices'!$C$4</f>
        <v>481980</v>
      </c>
      <c r="DI391" s="284">
        <f>DG391+DH391</f>
        <v>481980</v>
      </c>
      <c r="DJ391" s="57">
        <f>(DG391+DH391)/(DA391+DB391)</f>
        <v>24099</v>
      </c>
      <c r="DK391" s="318"/>
    </row>
    <row r="392" spans="1:115" x14ac:dyDescent="0.25">
      <c r="A392" t="s">
        <v>217</v>
      </c>
      <c r="B392" t="s">
        <v>218</v>
      </c>
      <c r="D392" t="s">
        <v>60</v>
      </c>
      <c r="E392" t="s">
        <v>61</v>
      </c>
      <c r="F392">
        <v>80202</v>
      </c>
      <c r="G392" t="s">
        <v>62</v>
      </c>
      <c r="I392">
        <v>20</v>
      </c>
      <c r="J392" t="s">
        <v>63</v>
      </c>
      <c r="K392" t="s">
        <v>4133</v>
      </c>
      <c r="L392" t="s">
        <v>64</v>
      </c>
      <c r="M392">
        <v>10</v>
      </c>
      <c r="N392" t="s">
        <v>219</v>
      </c>
      <c r="O392" t="s">
        <v>220</v>
      </c>
      <c r="Q392" t="s">
        <v>221</v>
      </c>
      <c r="R392" t="s">
        <v>60</v>
      </c>
      <c r="S392" t="s">
        <v>68</v>
      </c>
      <c r="T392" t="s">
        <v>222</v>
      </c>
      <c r="U392" t="s">
        <v>62</v>
      </c>
      <c r="V392">
        <v>7205243449</v>
      </c>
      <c r="W392" s="1">
        <v>116463</v>
      </c>
      <c r="X392">
        <v>3</v>
      </c>
      <c r="Y392">
        <v>3</v>
      </c>
      <c r="Z392">
        <v>2018</v>
      </c>
      <c r="AA392" t="s">
        <v>70</v>
      </c>
      <c r="AD392" t="s">
        <v>119</v>
      </c>
      <c r="AE392">
        <v>1382</v>
      </c>
      <c r="AF392" t="s">
        <v>120</v>
      </c>
      <c r="AI392">
        <v>13820000</v>
      </c>
      <c r="AJ392" t="s">
        <v>119</v>
      </c>
      <c r="AM392">
        <v>213112</v>
      </c>
      <c r="AN392" t="s">
        <v>74</v>
      </c>
      <c r="AQ392" t="s">
        <v>75</v>
      </c>
      <c r="AT392" t="s">
        <v>76</v>
      </c>
      <c r="BF392">
        <v>0</v>
      </c>
      <c r="BG392">
        <v>0</v>
      </c>
      <c r="CK392" s="19">
        <f>IF(BQ392&gt;0,BQ392,W392)</f>
        <v>116463</v>
      </c>
      <c r="CL392" s="20">
        <f>IF(BS392&gt;0,BS392,Y392)</f>
        <v>3</v>
      </c>
      <c r="CM392" s="34">
        <f>IF(CG392&gt;0,CG392,AM392)</f>
        <v>213112</v>
      </c>
      <c r="CN392" s="80">
        <f>IF($BH392="",1,COUNTIF($BH$3:$BH392,$BH392))</f>
        <v>1</v>
      </c>
      <c r="CP392" t="str">
        <f>IF($K392="Standard Match","Match",IF($K392="Name Only Match",IF($CO392="Yes","Match","Name Only Match"),"No Match"))</f>
        <v>Match</v>
      </c>
      <c r="CQ392" s="35" t="str">
        <f>IF(AND(CP392="Match",CK392&gt;0,CL392&gt;0),"Y","N")</f>
        <v>Y</v>
      </c>
      <c r="CS392" t="str">
        <f>IF($CQ392="Y",VLOOKUP($CM392,'SBA Size Standards'!$B$3:$G$57,MATCH('SBA Size Standards'!$G$3,'SBA Size Standards'!$B$3:$G$3,0),FALSE),"")</f>
        <v>Revenue</v>
      </c>
      <c r="CT392" s="60">
        <f>IF(CQ392="Y",IF($CS392="Employment","N/A",VLOOKUP($CM392,'SBA Size Standards'!$B$3:$G$57,MATCH('SBA Size Standards'!$E$3,'SBA Size Standards'!$B$3:$G$3,0),FALSE)),"")</f>
        <v>41500000</v>
      </c>
      <c r="CU392" s="86" t="str">
        <f>IF($CQ392="Y",IF($CS392="Revenue","N/A",VLOOKUP($CM392,'SBA Size Standards'!$B$3:$G$57,MATCH('SBA Size Standards'!$F$3,'SBA Size Standards'!$B$3:$G$3,0),FALSE)),"")</f>
        <v>N/A</v>
      </c>
      <c r="CV392" t="str">
        <f>IF($CQ392="Y",IF(OR(AND($CS392="Employment",$CL392&lt;$CU392),AND($CS392="Revenue",$CK392&lt;$CT392)),"YES","NO"),"")</f>
        <v>YES</v>
      </c>
      <c r="CW392" s="90" t="str">
        <f>IF($CQ392="Y",INDEX('SBA Size Standards'!$N$3:$N$12,MATCH($CK392,'SBA Size Standards'!$O$3:$O$12,1)),"")</f>
        <v>$100,001 - $500,000</v>
      </c>
      <c r="CX392" s="122" t="s">
        <v>4542</v>
      </c>
      <c r="CY392" s="122">
        <f>INDEX('NM O&amp;G Production'!$P$3:$P$537,MATCH(CX392,'NM O&amp;G Production'!$Q$3:$Q$537,0))</f>
        <v>20</v>
      </c>
      <c r="CZ392" s="122" t="str">
        <f>INDEX('NM O&amp;G Production'!$O$3:$O$537,MATCH(CY392,'NM O&amp;G Production'!$P$3:$P$537,0))</f>
        <v>Yes</v>
      </c>
      <c r="DA392" s="127">
        <f>INDEX('NM O&amp;G Production'!$K$3:$O$537,MATCH($CY392,'NM O&amp;G Production'!$P$3:$P$537,0),MATCH(DA$2,'NM O&amp;G Production'!$K$2:$O$2,0))</f>
        <v>7</v>
      </c>
      <c r="DB392" s="127">
        <f>INDEX('NM O&amp;G Production'!$K$3:$O$537,MATCH($CY392,'NM O&amp;G Production'!$P$3:$P$537,0),MATCH(DB$2,'NM O&amp;G Production'!$K$2:$O$2,0))</f>
        <v>3</v>
      </c>
      <c r="DC392" s="127">
        <f>DA392+DB392</f>
        <v>10</v>
      </c>
      <c r="DD392" s="127">
        <f>INDEX('NM O&amp;G Production'!$K$3:$O$537,MATCH($CY392,'NM O&amp;G Production'!$P$3:$P$537,0),MATCH(DD$2,'NM O&amp;G Production'!$K$2:$O$2,0))</f>
        <v>67536</v>
      </c>
      <c r="DE392" s="127">
        <f>INDEX('NM O&amp;G Production'!$K$3:$O$537,MATCH($CY392,'NM O&amp;G Production'!$P$3:$P$537,0),MATCH(DE$2,'NM O&amp;G Production'!$K$2:$O$2,0))</f>
        <v>31184</v>
      </c>
      <c r="DF392" s="258">
        <f>CK392/(DB392+DA392)</f>
        <v>11646.3</v>
      </c>
      <c r="DG392" s="57">
        <f>DD392*(12/18)*1.06*'Oil and Gas Prices'!$C$18</f>
        <v>114063.80160000001</v>
      </c>
      <c r="DH392" s="284">
        <f>DE392*(12/18)*'Oil and Gas Prices'!$C$4</f>
        <v>935520</v>
      </c>
      <c r="DI392" s="284">
        <f>DG392+DH392</f>
        <v>1049583.8015999999</v>
      </c>
      <c r="DJ392" s="57">
        <f>(DG392+DH392)/(DA392+DB392)</f>
        <v>104958.38015999999</v>
      </c>
      <c r="DK392" s="318"/>
    </row>
    <row r="393" spans="1:115" x14ac:dyDescent="0.25">
      <c r="A393" t="s">
        <v>2585</v>
      </c>
      <c r="B393" t="s">
        <v>2586</v>
      </c>
      <c r="D393" t="s">
        <v>123</v>
      </c>
      <c r="E393" t="s">
        <v>84</v>
      </c>
      <c r="F393">
        <v>87401</v>
      </c>
      <c r="G393" t="s">
        <v>62</v>
      </c>
      <c r="I393">
        <v>372</v>
      </c>
      <c r="J393" t="s">
        <v>89</v>
      </c>
      <c r="K393" t="s">
        <v>4133</v>
      </c>
      <c r="L393" t="s">
        <v>64</v>
      </c>
      <c r="M393">
        <v>10</v>
      </c>
      <c r="N393" t="s">
        <v>2587</v>
      </c>
      <c r="O393" t="s">
        <v>2585</v>
      </c>
      <c r="Q393" t="s">
        <v>2588</v>
      </c>
      <c r="R393" t="s">
        <v>123</v>
      </c>
      <c r="S393" t="s">
        <v>214</v>
      </c>
      <c r="T393" t="s">
        <v>2589</v>
      </c>
      <c r="U393" t="s">
        <v>62</v>
      </c>
      <c r="V393">
        <v>5053251133</v>
      </c>
      <c r="W393" s="1">
        <v>111600</v>
      </c>
      <c r="X393">
        <v>2</v>
      </c>
      <c r="Y393">
        <v>2</v>
      </c>
      <c r="Z393">
        <v>2010</v>
      </c>
      <c r="AA393" t="s">
        <v>70</v>
      </c>
      <c r="AB393" t="s">
        <v>2590</v>
      </c>
      <c r="AC393" t="s">
        <v>231</v>
      </c>
      <c r="AD393" t="s">
        <v>71</v>
      </c>
      <c r="AE393">
        <v>1389</v>
      </c>
      <c r="AF393" t="s">
        <v>72</v>
      </c>
      <c r="AI393">
        <v>13899912</v>
      </c>
      <c r="AJ393" t="s">
        <v>426</v>
      </c>
      <c r="AM393">
        <v>213112</v>
      </c>
      <c r="AN393" t="s">
        <v>74</v>
      </c>
      <c r="AQ393" t="s">
        <v>75</v>
      </c>
      <c r="AT393" t="s">
        <v>76</v>
      </c>
      <c r="BF393">
        <v>0</v>
      </c>
      <c r="BG393">
        <v>0</v>
      </c>
      <c r="CK393" s="19">
        <f>IF(BQ393&gt;0,BQ393,W393)</f>
        <v>111600</v>
      </c>
      <c r="CL393" s="20">
        <f>IF(BS393&gt;0,BS393,Y393)</f>
        <v>2</v>
      </c>
      <c r="CM393" s="34">
        <f>IF(CG393&gt;0,CG393,AM393)</f>
        <v>213112</v>
      </c>
      <c r="CN393" s="80">
        <f>IF($BH393="",1,COUNTIF($BH$3:$BH393,$BH393))</f>
        <v>1</v>
      </c>
      <c r="CP393" t="str">
        <f>IF($K393="Standard Match","Match",IF($K393="Name Only Match",IF($CO393="Yes","Match","Name Only Match"),"No Match"))</f>
        <v>Match</v>
      </c>
      <c r="CQ393" s="35" t="str">
        <f>IF(AND(CP393="Match",CK393&gt;0,CL393&gt;0),"Y","N")</f>
        <v>Y</v>
      </c>
      <c r="CS393" t="str">
        <f>IF($CQ393="Y",VLOOKUP($CM393,'SBA Size Standards'!$B$3:$G$57,MATCH('SBA Size Standards'!$G$3,'SBA Size Standards'!$B$3:$G$3,0),FALSE),"")</f>
        <v>Revenue</v>
      </c>
      <c r="CT393" s="60">
        <f>IF(CQ393="Y",IF($CS393="Employment","N/A",VLOOKUP($CM393,'SBA Size Standards'!$B$3:$G$57,MATCH('SBA Size Standards'!$E$3,'SBA Size Standards'!$B$3:$G$3,0),FALSE)),"")</f>
        <v>41500000</v>
      </c>
      <c r="CU393" s="86" t="str">
        <f>IF($CQ393="Y",IF($CS393="Revenue","N/A",VLOOKUP($CM393,'SBA Size Standards'!$B$3:$G$57,MATCH('SBA Size Standards'!$F$3,'SBA Size Standards'!$B$3:$G$3,0),FALSE)),"")</f>
        <v>N/A</v>
      </c>
      <c r="CV393" t="str">
        <f>IF($CQ393="Y",IF(OR(AND($CS393="Employment",$CL393&lt;$CU393),AND($CS393="Revenue",$CK393&lt;$CT393)),"YES","NO"),"")</f>
        <v>YES</v>
      </c>
      <c r="CW393" s="90" t="str">
        <f>IF($CQ393="Y",INDEX('SBA Size Standards'!$N$3:$N$12,MATCH($CK393,'SBA Size Standards'!$O$3:$O$12,1)),"")</f>
        <v>$100,001 - $500,000</v>
      </c>
      <c r="CX393" s="122" t="s">
        <v>4708</v>
      </c>
      <c r="CY393" s="122">
        <f>INDEX('NM O&amp;G Production'!$P$3:$P$537,MATCH(CX393,'NM O&amp;G Production'!$Q$3:$Q$537,0))</f>
        <v>372</v>
      </c>
      <c r="CZ393" s="122" t="str">
        <f>INDEX('NM O&amp;G Production'!$O$3:$O$537,MATCH(CY393,'NM O&amp;G Production'!$P$3:$P$537,0))</f>
        <v>No</v>
      </c>
      <c r="DA393" s="127">
        <f>INDEX('NM O&amp;G Production'!$K$3:$O$537,MATCH($CY393,'NM O&amp;G Production'!$P$3:$P$537,0),MATCH(DA$2,'NM O&amp;G Production'!$K$2:$O$2,0))</f>
        <v>0</v>
      </c>
      <c r="DB393" s="127">
        <f>INDEX('NM O&amp;G Production'!$K$3:$O$537,MATCH($CY393,'NM O&amp;G Production'!$P$3:$P$537,0),MATCH(DB$2,'NM O&amp;G Production'!$K$2:$O$2,0))</f>
        <v>0</v>
      </c>
      <c r="DC393" s="127"/>
      <c r="DD393" s="127">
        <f>INDEX('NM O&amp;G Production'!$K$3:$O$537,MATCH($CY393,'NM O&amp;G Production'!$P$3:$P$537,0),MATCH(DD$2,'NM O&amp;G Production'!$K$2:$O$2,0))</f>
        <v>0</v>
      </c>
      <c r="DE393" s="127">
        <f>INDEX('NM O&amp;G Production'!$K$3:$O$537,MATCH($CY393,'NM O&amp;G Production'!$P$3:$P$537,0),MATCH(DE$2,'NM O&amp;G Production'!$K$2:$O$2,0))</f>
        <v>0</v>
      </c>
      <c r="DF393" s="258" t="e">
        <f>CK393/(DB393+DA393)</f>
        <v>#DIV/0!</v>
      </c>
      <c r="DG393" s="57">
        <f>DD393*(12/18)*1.06*'Oil and Gas Prices'!$C$18</f>
        <v>0</v>
      </c>
      <c r="DH393" s="284">
        <f>DE393*(12/18)*'Oil and Gas Prices'!$C$4</f>
        <v>0</v>
      </c>
      <c r="DI393" s="284"/>
      <c r="DJ393" s="57" t="e">
        <f>(DG393+DH393)/(DA393+DB393)</f>
        <v>#DIV/0!</v>
      </c>
      <c r="DK393" s="18" t="e">
        <f>CK393/DI393</f>
        <v>#DIV/0!</v>
      </c>
    </row>
    <row r="394" spans="1:115" x14ac:dyDescent="0.25">
      <c r="A394" t="s">
        <v>3202</v>
      </c>
      <c r="B394" t="s">
        <v>3203</v>
      </c>
      <c r="D394" t="s">
        <v>246</v>
      </c>
      <c r="E394" t="s">
        <v>80</v>
      </c>
      <c r="F394">
        <v>750866937</v>
      </c>
      <c r="G394" t="s">
        <v>62</v>
      </c>
      <c r="I394">
        <v>470</v>
      </c>
      <c r="J394" t="s">
        <v>89</v>
      </c>
      <c r="K394" t="s">
        <v>4133</v>
      </c>
      <c r="L394" t="s">
        <v>419</v>
      </c>
      <c r="M394">
        <v>8</v>
      </c>
      <c r="N394" t="s">
        <v>3204</v>
      </c>
      <c r="O394" t="s">
        <v>3205</v>
      </c>
      <c r="R394" t="s">
        <v>246</v>
      </c>
      <c r="S394" t="s">
        <v>94</v>
      </c>
      <c r="T394">
        <v>75086</v>
      </c>
      <c r="U394" t="s">
        <v>62</v>
      </c>
      <c r="V394">
        <v>9728672584</v>
      </c>
      <c r="W394" s="1">
        <v>110000</v>
      </c>
      <c r="X394">
        <v>2</v>
      </c>
      <c r="Y394">
        <v>2</v>
      </c>
      <c r="Z394">
        <v>2011</v>
      </c>
      <c r="AA394" t="s">
        <v>70</v>
      </c>
      <c r="AD394" t="s">
        <v>494</v>
      </c>
      <c r="AE394">
        <v>8741</v>
      </c>
      <c r="AF394" t="s">
        <v>495</v>
      </c>
      <c r="AI394">
        <v>87410000</v>
      </c>
      <c r="AJ394" t="s">
        <v>496</v>
      </c>
      <c r="AM394">
        <v>561110</v>
      </c>
      <c r="AN394" t="s">
        <v>497</v>
      </c>
      <c r="AQ394" t="s">
        <v>75</v>
      </c>
      <c r="AT394" t="s">
        <v>76</v>
      </c>
      <c r="BF394">
        <v>0</v>
      </c>
      <c r="BG394">
        <v>0</v>
      </c>
      <c r="CK394" s="19">
        <f>IF(BQ394&gt;0,BQ394,W394)</f>
        <v>110000</v>
      </c>
      <c r="CL394" s="20">
        <f>IF(BS394&gt;0,BS394,Y394)</f>
        <v>2</v>
      </c>
      <c r="CM394" s="34">
        <f>IF(CG394&gt;0,CG394,AM394)</f>
        <v>561110</v>
      </c>
      <c r="CN394" s="80">
        <f>IF($BH394="",1,COUNTIF($BH$3:$BH394,$BH394))</f>
        <v>1</v>
      </c>
      <c r="CP394" t="str">
        <f>IF($K394="Standard Match","Match",IF($K394="Name Only Match",IF($CO394="Yes","Match","Name Only Match"),"No Match"))</f>
        <v>Match</v>
      </c>
      <c r="CQ394" s="35" t="str">
        <f>IF(AND(CP394="Match",CK394&gt;0,CL394&gt;0),"Y","N")</f>
        <v>Y</v>
      </c>
      <c r="CS394" t="str">
        <f>IF($CQ394="Y",VLOOKUP($CM394,'SBA Size Standards'!$B$3:$G$57,MATCH('SBA Size Standards'!$G$3,'SBA Size Standards'!$B$3:$G$3,0),FALSE),"")</f>
        <v>Revenue</v>
      </c>
      <c r="CT394" s="60">
        <f>IF(CQ394="Y",IF($CS394="Employment","N/A",VLOOKUP($CM394,'SBA Size Standards'!$B$3:$G$57,MATCH('SBA Size Standards'!$E$3,'SBA Size Standards'!$B$3:$G$3,0),FALSE)),"")</f>
        <v>8000000</v>
      </c>
      <c r="CU394" s="86" t="str">
        <f>IF($CQ394="Y",IF($CS394="Revenue","N/A",VLOOKUP($CM394,'SBA Size Standards'!$B$3:$G$57,MATCH('SBA Size Standards'!$F$3,'SBA Size Standards'!$B$3:$G$3,0),FALSE)),"")</f>
        <v>N/A</v>
      </c>
      <c r="CV394" t="str">
        <f>IF($CQ394="Y",IF(OR(AND($CS394="Employment",$CL394&lt;$CU394),AND($CS394="Revenue",$CK394&lt;$CT394)),"YES","NO"),"")</f>
        <v>YES</v>
      </c>
      <c r="CW394" s="90" t="str">
        <f>IF($CQ394="Y",INDEX('SBA Size Standards'!$N$3:$N$12,MATCH($CK394,'SBA Size Standards'!$O$3:$O$12,1)),"")</f>
        <v>$100,001 - $500,000</v>
      </c>
      <c r="CX394" s="122" t="s">
        <v>4908</v>
      </c>
      <c r="CY394" s="122">
        <f>INDEX('NM O&amp;G Production'!$P$3:$P$537,MATCH(CX394,'NM O&amp;G Production'!$Q$3:$Q$537,0))</f>
        <v>470</v>
      </c>
      <c r="CZ394" s="122" t="str">
        <f>INDEX('NM O&amp;G Production'!$O$3:$O$537,MATCH(CY394,'NM O&amp;G Production'!$P$3:$P$537,0))</f>
        <v>Yes</v>
      </c>
      <c r="DA394" s="127">
        <f>INDEX('NM O&amp;G Production'!$K$3:$O$537,MATCH($CY394,'NM O&amp;G Production'!$P$3:$P$537,0),MATCH(DA$2,'NM O&amp;G Production'!$K$2:$O$2,0))</f>
        <v>2</v>
      </c>
      <c r="DB394" s="127">
        <f>INDEX('NM O&amp;G Production'!$K$3:$O$537,MATCH($CY394,'NM O&amp;G Production'!$P$3:$P$537,0),MATCH(DB$2,'NM O&amp;G Production'!$K$2:$O$2,0))</f>
        <v>0</v>
      </c>
      <c r="DC394" s="127">
        <f>DA394+DB394</f>
        <v>2</v>
      </c>
      <c r="DD394" s="127">
        <f>INDEX('NM O&amp;G Production'!$K$3:$O$537,MATCH($CY394,'NM O&amp;G Production'!$P$3:$P$537,0),MATCH(DD$2,'NM O&amp;G Production'!$K$2:$O$2,0))</f>
        <v>11997</v>
      </c>
      <c r="DE394" s="127">
        <f>INDEX('NM O&amp;G Production'!$K$3:$O$537,MATCH($CY394,'NM O&amp;G Production'!$P$3:$P$537,0),MATCH(DE$2,'NM O&amp;G Production'!$K$2:$O$2,0))</f>
        <v>19419</v>
      </c>
      <c r="DF394" s="258">
        <f>CK394/(DB394+DA394)</f>
        <v>55000</v>
      </c>
      <c r="DG394" s="57">
        <f>DD394*(12/18)*1.06*'Oil and Gas Prices'!$C$18</f>
        <v>20262.133200000004</v>
      </c>
      <c r="DH394" s="284">
        <f>DE394*(12/18)*'Oil and Gas Prices'!$C$4</f>
        <v>582570</v>
      </c>
      <c r="DI394" s="284">
        <f>DG394+DH394</f>
        <v>602832.13320000004</v>
      </c>
      <c r="DJ394" s="57">
        <f>(DG394+DH394)/(DA394+DB394)</f>
        <v>301416.06660000002</v>
      </c>
      <c r="DK394" s="320"/>
    </row>
    <row r="395" spans="1:115" x14ac:dyDescent="0.25">
      <c r="A395" t="s">
        <v>812</v>
      </c>
      <c r="B395" t="s">
        <v>813</v>
      </c>
      <c r="D395" t="s">
        <v>814</v>
      </c>
      <c r="E395" t="s">
        <v>265</v>
      </c>
      <c r="F395">
        <v>94707</v>
      </c>
      <c r="G395" t="s">
        <v>62</v>
      </c>
      <c r="I395">
        <v>102</v>
      </c>
      <c r="J395" t="s">
        <v>404</v>
      </c>
      <c r="K395" t="s">
        <v>4134</v>
      </c>
      <c r="L395" t="s">
        <v>3627</v>
      </c>
      <c r="M395">
        <v>8</v>
      </c>
      <c r="N395" t="s">
        <v>4092</v>
      </c>
      <c r="O395" s="21" t="s">
        <v>4093</v>
      </c>
      <c r="Q395" t="s">
        <v>4094</v>
      </c>
      <c r="R395" t="s">
        <v>4095</v>
      </c>
      <c r="S395" t="s">
        <v>3662</v>
      </c>
      <c r="T395" t="s">
        <v>4096</v>
      </c>
      <c r="U395" t="s">
        <v>62</v>
      </c>
      <c r="V395">
        <v>5105272659</v>
      </c>
      <c r="W395" s="1">
        <v>110000</v>
      </c>
      <c r="X395">
        <v>1</v>
      </c>
      <c r="Y395">
        <v>1</v>
      </c>
      <c r="AA395" t="s">
        <v>70</v>
      </c>
      <c r="AB395" t="s">
        <v>4097</v>
      </c>
      <c r="AC395" t="s">
        <v>98</v>
      </c>
      <c r="AD395" t="s">
        <v>3315</v>
      </c>
      <c r="AE395">
        <v>6282</v>
      </c>
      <c r="AF395" t="s">
        <v>3316</v>
      </c>
      <c r="AI395">
        <v>62829902</v>
      </c>
      <c r="AJ395" t="s">
        <v>3317</v>
      </c>
      <c r="AM395">
        <v>523930</v>
      </c>
      <c r="AN395" t="s">
        <v>3316</v>
      </c>
      <c r="AQ395" t="s">
        <v>75</v>
      </c>
      <c r="AT395" t="s">
        <v>76</v>
      </c>
      <c r="BF395">
        <v>0</v>
      </c>
      <c r="BG395">
        <v>0</v>
      </c>
      <c r="CK395" s="19">
        <f>IF(BQ395&gt;0,BQ395,W395)</f>
        <v>110000</v>
      </c>
      <c r="CL395" s="20">
        <f>IF(BS395&gt;0,BS395,Y395)</f>
        <v>1</v>
      </c>
      <c r="CM395" s="34">
        <f>IF(CG395&gt;0,CG395,AM395)</f>
        <v>523930</v>
      </c>
      <c r="CN395" s="80">
        <f>IF($BH395="",1,COUNTIF($BH$3:$BH395,$BH395))</f>
        <v>1</v>
      </c>
      <c r="CO395" s="33" t="s">
        <v>4386</v>
      </c>
      <c r="CP395" t="str">
        <f>IF($K395="Standard Match","Match",IF($K395="Name Only Match",IF($CO395="Yes","Match","Name Only Match"),"No Match"))</f>
        <v>Match</v>
      </c>
      <c r="CQ395" s="35" t="str">
        <f>IF(AND(CP395="Match",CK395&gt;0,CL395&gt;0),"Y","N")</f>
        <v>Y</v>
      </c>
      <c r="CS395" t="str">
        <f>IF($CQ395="Y",VLOOKUP($CM395,'SBA Size Standards'!$B$3:$G$57,MATCH('SBA Size Standards'!$G$3,'SBA Size Standards'!$B$3:$G$3,0),FALSE),"")</f>
        <v>Revenue</v>
      </c>
      <c r="CT395" s="60">
        <f>IF(CQ395="Y",IF($CS395="Employment","N/A",VLOOKUP($CM395,'SBA Size Standards'!$B$3:$G$57,MATCH('SBA Size Standards'!$E$3,'SBA Size Standards'!$B$3:$G$3,0),FALSE)),"")</f>
        <v>41500000</v>
      </c>
      <c r="CU395" s="86" t="str">
        <f>IF($CQ395="Y",IF($CS395="Revenue","N/A",VLOOKUP($CM395,'SBA Size Standards'!$B$3:$G$57,MATCH('SBA Size Standards'!$F$3,'SBA Size Standards'!$B$3:$G$3,0),FALSE)),"")</f>
        <v>N/A</v>
      </c>
      <c r="CV395" t="str">
        <f>IF($CQ395="Y",IF(OR(AND($CS395="Employment",$CL395&lt;$CU395),AND($CS395="Revenue",$CK395&lt;$CT395)),"YES","NO"),"")</f>
        <v>YES</v>
      </c>
      <c r="CW395" s="90" t="str">
        <f>IF($CQ395="Y",INDEX('SBA Size Standards'!$N$3:$N$12,MATCH($CK395,'SBA Size Standards'!$O$3:$O$12,1)),"")</f>
        <v>$100,001 - $500,000</v>
      </c>
      <c r="CX395" s="122" t="s">
        <v>4946</v>
      </c>
      <c r="CY395" s="122">
        <f>INDEX('NM O&amp;G Production'!$P$3:$P$537,MATCH(CX395,'NM O&amp;G Production'!$Q$3:$Q$537,0))</f>
        <v>102</v>
      </c>
      <c r="CZ395" s="122" t="str">
        <f>INDEX('NM O&amp;G Production'!$O$3:$O$537,MATCH(CY395,'NM O&amp;G Production'!$P$3:$P$537,0))</f>
        <v>Yes</v>
      </c>
      <c r="DA395" s="127">
        <f>INDEX('NM O&amp;G Production'!$K$3:$O$537,MATCH($CY395,'NM O&amp;G Production'!$P$3:$P$537,0),MATCH(DA$2,'NM O&amp;G Production'!$K$2:$O$2,0))</f>
        <v>0</v>
      </c>
      <c r="DB395" s="127">
        <f>INDEX('NM O&amp;G Production'!$K$3:$O$537,MATCH($CY395,'NM O&amp;G Production'!$P$3:$P$537,0),MATCH(DB$2,'NM O&amp;G Production'!$K$2:$O$2,0))</f>
        <v>1</v>
      </c>
      <c r="DC395" s="127">
        <f>DA395+DB395</f>
        <v>1</v>
      </c>
      <c r="DD395" s="127">
        <f>INDEX('NM O&amp;G Production'!$K$3:$O$537,MATCH($CY395,'NM O&amp;G Production'!$P$3:$P$537,0),MATCH(DD$2,'NM O&amp;G Production'!$K$2:$O$2,0))</f>
        <v>0</v>
      </c>
      <c r="DE395" s="127">
        <f>INDEX('NM O&amp;G Production'!$K$3:$O$537,MATCH($CY395,'NM O&amp;G Production'!$P$3:$P$537,0),MATCH(DE$2,'NM O&amp;G Production'!$K$2:$O$2,0))</f>
        <v>717</v>
      </c>
      <c r="DF395" s="258">
        <f>CK395/(DB395+DA395)</f>
        <v>110000</v>
      </c>
      <c r="DG395" s="57">
        <f>DD395*(12/18)*1.06*'Oil and Gas Prices'!$C$18</f>
        <v>0</v>
      </c>
      <c r="DH395" s="284">
        <f>DE395*(12/18)*'Oil and Gas Prices'!$C$4</f>
        <v>21510</v>
      </c>
      <c r="DI395" s="284">
        <f>DG395+DH395</f>
        <v>21510</v>
      </c>
      <c r="DJ395" s="57">
        <f>(DG395+DH395)/(DA395+DB395)</f>
        <v>21510</v>
      </c>
      <c r="DK395" s="319"/>
    </row>
    <row r="396" spans="1:115" x14ac:dyDescent="0.25">
      <c r="A396" t="s">
        <v>3510</v>
      </c>
      <c r="B396" t="s">
        <v>3511</v>
      </c>
      <c r="D396" t="s">
        <v>209</v>
      </c>
      <c r="E396" t="s">
        <v>84</v>
      </c>
      <c r="F396">
        <v>88202</v>
      </c>
      <c r="G396" t="s">
        <v>62</v>
      </c>
      <c r="I396">
        <v>516</v>
      </c>
      <c r="J396" t="s">
        <v>404</v>
      </c>
      <c r="K396" t="s">
        <v>4133</v>
      </c>
      <c r="L396" t="s">
        <v>64</v>
      </c>
      <c r="M396">
        <v>10</v>
      </c>
      <c r="N396" t="s">
        <v>3512</v>
      </c>
      <c r="O396" t="s">
        <v>3513</v>
      </c>
      <c r="Q396" t="s">
        <v>3514</v>
      </c>
      <c r="R396" t="s">
        <v>209</v>
      </c>
      <c r="S396" t="s">
        <v>214</v>
      </c>
      <c r="T396" t="s">
        <v>3515</v>
      </c>
      <c r="U396" t="s">
        <v>62</v>
      </c>
      <c r="V396">
        <v>5756226181</v>
      </c>
      <c r="W396" s="1">
        <v>110000</v>
      </c>
      <c r="X396">
        <v>2</v>
      </c>
      <c r="Y396">
        <v>2</v>
      </c>
      <c r="AA396" t="s">
        <v>70</v>
      </c>
      <c r="AD396" t="s">
        <v>119</v>
      </c>
      <c r="AE396">
        <v>1382</v>
      </c>
      <c r="AF396" t="s">
        <v>120</v>
      </c>
      <c r="AI396">
        <v>13820000</v>
      </c>
      <c r="AJ396" t="s">
        <v>119</v>
      </c>
      <c r="AM396">
        <v>213112</v>
      </c>
      <c r="AN396" t="s">
        <v>74</v>
      </c>
      <c r="AQ396" t="s">
        <v>75</v>
      </c>
      <c r="AT396" t="s">
        <v>76</v>
      </c>
      <c r="BF396">
        <v>0</v>
      </c>
      <c r="BG396">
        <v>0</v>
      </c>
      <c r="CK396" s="19">
        <f>IF(BQ396&gt;0,BQ396,W396)</f>
        <v>110000</v>
      </c>
      <c r="CL396" s="20">
        <f>IF(BS396&gt;0,BS396,Y396)</f>
        <v>2</v>
      </c>
      <c r="CM396" s="34">
        <f>IF(CG396&gt;0,CG396,AM396)</f>
        <v>213112</v>
      </c>
      <c r="CN396" s="80">
        <f>IF($BH396="",1,COUNTIF($BH$3:$BH396,$BH396))</f>
        <v>1</v>
      </c>
      <c r="CP396" t="str">
        <f>IF($K396="Standard Match","Match",IF($K396="Name Only Match",IF($CO396="Yes","Match","Name Only Match"),"No Match"))</f>
        <v>Match</v>
      </c>
      <c r="CQ396" s="35" t="str">
        <f>IF(AND(CP396="Match",CK396&gt;0,CL396&gt;0),"Y","N")</f>
        <v>Y</v>
      </c>
      <c r="CS396" t="str">
        <f>IF($CQ396="Y",VLOOKUP($CM396,'SBA Size Standards'!$B$3:$G$57,MATCH('SBA Size Standards'!$G$3,'SBA Size Standards'!$B$3:$G$3,0),FALSE),"")</f>
        <v>Revenue</v>
      </c>
      <c r="CT396" s="60">
        <f>IF(CQ396="Y",IF($CS396="Employment","N/A",VLOOKUP($CM396,'SBA Size Standards'!$B$3:$G$57,MATCH('SBA Size Standards'!$E$3,'SBA Size Standards'!$B$3:$G$3,0),FALSE)),"")</f>
        <v>41500000</v>
      </c>
      <c r="CU396" s="86" t="str">
        <f>IF($CQ396="Y",IF($CS396="Revenue","N/A",VLOOKUP($CM396,'SBA Size Standards'!$B$3:$G$57,MATCH('SBA Size Standards'!$F$3,'SBA Size Standards'!$B$3:$G$3,0),FALSE)),"")</f>
        <v>N/A</v>
      </c>
      <c r="CV396" t="str">
        <f>IF($CQ396="Y",IF(OR(AND($CS396="Employment",$CL396&lt;$CU396),AND($CS396="Revenue",$CK396&lt;$CT396)),"YES","NO"),"")</f>
        <v>YES</v>
      </c>
      <c r="CW396" s="90" t="str">
        <f>IF($CQ396="Y",INDEX('SBA Size Standards'!$N$3:$N$12,MATCH($CK396,'SBA Size Standards'!$O$3:$O$12,1)),"")</f>
        <v>$100,001 - $500,000</v>
      </c>
      <c r="CX396" s="122" t="s">
        <v>4783</v>
      </c>
      <c r="CY396" s="122">
        <f>INDEX('NM O&amp;G Production'!$P$3:$P$537,MATCH(CX396,'NM O&amp;G Production'!$Q$3:$Q$537,0))</f>
        <v>516</v>
      </c>
      <c r="CZ396" s="122" t="str">
        <f>INDEX('NM O&amp;G Production'!$O$3:$O$537,MATCH(CY396,'NM O&amp;G Production'!$P$3:$P$537,0))</f>
        <v>yes</v>
      </c>
      <c r="DA396" s="127">
        <f>INDEX('NM O&amp;G Production'!$K$3:$O$537,MATCH($CY396,'NM O&amp;G Production'!$P$3:$P$537,0),MATCH(DA$2,'NM O&amp;G Production'!$K$2:$O$2,0))</f>
        <v>0</v>
      </c>
      <c r="DB396" s="127">
        <f>INDEX('NM O&amp;G Production'!$K$3:$O$537,MATCH($CY396,'NM O&amp;G Production'!$P$3:$P$537,0),MATCH(DB$2,'NM O&amp;G Production'!$K$2:$O$2,0))</f>
        <v>1</v>
      </c>
      <c r="DC396" s="127">
        <f>DA396+DB396</f>
        <v>1</v>
      </c>
      <c r="DD396" s="127">
        <f>INDEX('NM O&amp;G Production'!$K$3:$O$537,MATCH($CY396,'NM O&amp;G Production'!$P$3:$P$537,0),MATCH(DD$2,'NM O&amp;G Production'!$K$2:$O$2,0))</f>
        <v>8026</v>
      </c>
      <c r="DE396" s="127">
        <f>INDEX('NM O&amp;G Production'!$K$3:$O$537,MATCH($CY396,'NM O&amp;G Production'!$P$3:$P$537,0),MATCH(DE$2,'NM O&amp;G Production'!$K$2:$O$2,0))</f>
        <v>0</v>
      </c>
      <c r="DF396" s="258">
        <f>CK396/(DB396+DA396)</f>
        <v>110000</v>
      </c>
      <c r="DG396" s="57">
        <f>DD396*(12/18)*1.06*'Oil and Gas Prices'!$C$18</f>
        <v>13555.378933333333</v>
      </c>
      <c r="DH396" s="284">
        <f>DE396*(12/18)*'Oil and Gas Prices'!$C$4</f>
        <v>0</v>
      </c>
      <c r="DI396" s="284">
        <f>DG396+DH396</f>
        <v>13555.378933333333</v>
      </c>
      <c r="DJ396" s="57">
        <f>(DG396+DH396)/(DA396+DB396)</f>
        <v>13555.378933333333</v>
      </c>
      <c r="DK396" s="319"/>
    </row>
    <row r="397" spans="1:115" x14ac:dyDescent="0.25">
      <c r="A397" t="s">
        <v>3221</v>
      </c>
      <c r="B397" t="s">
        <v>3222</v>
      </c>
      <c r="D397" t="s">
        <v>1100</v>
      </c>
      <c r="E397" t="s">
        <v>80</v>
      </c>
      <c r="F397">
        <v>79423</v>
      </c>
      <c r="G397" t="s">
        <v>62</v>
      </c>
      <c r="I397">
        <v>473</v>
      </c>
      <c r="J397" t="s">
        <v>63</v>
      </c>
      <c r="K397" t="s">
        <v>4133</v>
      </c>
      <c r="L397" t="s">
        <v>1810</v>
      </c>
      <c r="M397">
        <v>9</v>
      </c>
      <c r="N397" t="s">
        <v>3223</v>
      </c>
      <c r="O397" t="s">
        <v>3224</v>
      </c>
      <c r="Q397" t="s">
        <v>3225</v>
      </c>
      <c r="R397" t="s">
        <v>1100</v>
      </c>
      <c r="S397" t="s">
        <v>94</v>
      </c>
      <c r="T397" t="s">
        <v>3226</v>
      </c>
      <c r="U397" t="s">
        <v>62</v>
      </c>
      <c r="V397">
        <v>8067952042</v>
      </c>
      <c r="W397" s="1">
        <v>109932</v>
      </c>
      <c r="X397">
        <v>4</v>
      </c>
      <c r="Y397">
        <v>4</v>
      </c>
      <c r="Z397">
        <v>2010</v>
      </c>
      <c r="AA397" t="s">
        <v>70</v>
      </c>
      <c r="AB397" t="s">
        <v>3227</v>
      </c>
      <c r="AC397" t="s">
        <v>231</v>
      </c>
      <c r="AD397" t="s">
        <v>1235</v>
      </c>
      <c r="AE397">
        <v>4911</v>
      </c>
      <c r="AF397" t="s">
        <v>1236</v>
      </c>
      <c r="AI397">
        <v>49110000</v>
      </c>
      <c r="AJ397" t="s">
        <v>1237</v>
      </c>
      <c r="AM397">
        <v>221118</v>
      </c>
      <c r="AN397" t="s">
        <v>1238</v>
      </c>
      <c r="AQ397" t="s">
        <v>75</v>
      </c>
      <c r="AT397" t="s">
        <v>76</v>
      </c>
      <c r="BF397">
        <v>0</v>
      </c>
      <c r="BG397">
        <v>0</v>
      </c>
      <c r="CK397" s="19">
        <f>IF(BQ397&gt;0,BQ397,W397)</f>
        <v>109932</v>
      </c>
      <c r="CL397" s="20">
        <f>IF(BS397&gt;0,BS397,Y397)</f>
        <v>4</v>
      </c>
      <c r="CM397" s="34">
        <f>IF(CG397&gt;0,CG397,AM397)</f>
        <v>221118</v>
      </c>
      <c r="CN397" s="80">
        <f>IF($BH397="",1,COUNTIF($BH$3:$BH397,$BH397))</f>
        <v>1</v>
      </c>
      <c r="CP397" t="str">
        <f>IF($K397="Standard Match","Match",IF($K397="Name Only Match",IF($CO397="Yes","Match","Name Only Match"),"No Match"))</f>
        <v>Match</v>
      </c>
      <c r="CQ397" s="35" t="str">
        <f>IF(AND(CP397="Match",CK397&gt;0,CL397&gt;0),"Y","N")</f>
        <v>Y</v>
      </c>
      <c r="CS397" t="str">
        <f>IF($CQ397="Y",VLOOKUP($CM397,'SBA Size Standards'!$B$3:$G$57,MATCH('SBA Size Standards'!$G$3,'SBA Size Standards'!$B$3:$G$3,0),FALSE),"")</f>
        <v>Employment</v>
      </c>
      <c r="CT397" s="60" t="str">
        <f>IF(CQ397="Y",IF($CS397="Employment","N/A",VLOOKUP($CM397,'SBA Size Standards'!$B$3:$G$57,MATCH('SBA Size Standards'!$E$3,'SBA Size Standards'!$B$3:$G$3,0),FALSE)),"")</f>
        <v>N/A</v>
      </c>
      <c r="CU397" s="86">
        <f>IF($CQ397="Y",IF($CS397="Revenue","N/A",VLOOKUP($CM397,'SBA Size Standards'!$B$3:$G$57,MATCH('SBA Size Standards'!$F$3,'SBA Size Standards'!$B$3:$G$3,0),FALSE)),"")</f>
        <v>250</v>
      </c>
      <c r="CV397" t="str">
        <f>IF($CQ397="Y",IF(OR(AND($CS397="Employment",$CL397&lt;$CU397),AND($CS397="Revenue",$CK397&lt;$CT397)),"YES","NO"),"")</f>
        <v>YES</v>
      </c>
      <c r="CW397" s="90" t="str">
        <f>IF($CQ397="Y",INDEX('SBA Size Standards'!$N$3:$N$12,MATCH($CK397,'SBA Size Standards'!$O$3:$O$12,1)),"")</f>
        <v>$100,001 - $500,000</v>
      </c>
      <c r="CX397" s="122" t="s">
        <v>4796</v>
      </c>
      <c r="CY397" s="122">
        <f>INDEX('NM O&amp;G Production'!$P$3:$P$537,MATCH(CX397,'NM O&amp;G Production'!$Q$3:$Q$537,0))</f>
        <v>473</v>
      </c>
      <c r="CZ397" s="122" t="str">
        <f>INDEX('NM O&amp;G Production'!$O$3:$O$537,MATCH(CY397,'NM O&amp;G Production'!$P$3:$P$537,0))</f>
        <v>Yes</v>
      </c>
      <c r="DA397" s="127">
        <f>INDEX('NM O&amp;G Production'!$K$3:$O$537,MATCH($CY397,'NM O&amp;G Production'!$P$3:$P$537,0),MATCH(DA$2,'NM O&amp;G Production'!$K$2:$O$2,0))</f>
        <v>0</v>
      </c>
      <c r="DB397" s="127">
        <f>INDEX('NM O&amp;G Production'!$K$3:$O$537,MATCH($CY397,'NM O&amp;G Production'!$P$3:$P$537,0),MATCH(DB$2,'NM O&amp;G Production'!$K$2:$O$2,0))</f>
        <v>13</v>
      </c>
      <c r="DC397" s="127">
        <f>DA397+DB397</f>
        <v>13</v>
      </c>
      <c r="DD397" s="127">
        <f>INDEX('NM O&amp;G Production'!$K$3:$O$537,MATCH($CY397,'NM O&amp;G Production'!$P$3:$P$537,0),MATCH(DD$2,'NM O&amp;G Production'!$K$2:$O$2,0))</f>
        <v>0</v>
      </c>
      <c r="DE397" s="127">
        <f>INDEX('NM O&amp;G Production'!$K$3:$O$537,MATCH($CY397,'NM O&amp;G Production'!$P$3:$P$537,0),MATCH(DE$2,'NM O&amp;G Production'!$K$2:$O$2,0))</f>
        <v>7447</v>
      </c>
      <c r="DF397" s="258">
        <f>CK397/(DB397+DA397)</f>
        <v>8456.3076923076915</v>
      </c>
      <c r="DG397" s="57">
        <f>DD397*(12/18)*1.06*'Oil and Gas Prices'!$C$18</f>
        <v>0</v>
      </c>
      <c r="DH397" s="284">
        <f>DE397*(12/18)*'Oil and Gas Prices'!$C$4</f>
        <v>223409.99999999997</v>
      </c>
      <c r="DI397" s="284">
        <f>DG397+DH397</f>
        <v>223409.99999999997</v>
      </c>
      <c r="DJ397" s="57">
        <f>(DG397+DH397)/(DA397+DB397)</f>
        <v>17185.384615384613</v>
      </c>
      <c r="DK397" s="318"/>
    </row>
    <row r="398" spans="1:115" x14ac:dyDescent="0.25">
      <c r="A398" t="s">
        <v>1146</v>
      </c>
      <c r="B398" t="s">
        <v>1147</v>
      </c>
      <c r="D398" t="s">
        <v>112</v>
      </c>
      <c r="E398" t="s">
        <v>80</v>
      </c>
      <c r="F398">
        <v>77042</v>
      </c>
      <c r="G398" t="s">
        <v>62</v>
      </c>
      <c r="I398">
        <v>150</v>
      </c>
      <c r="J398" t="s">
        <v>63</v>
      </c>
      <c r="K398" t="s">
        <v>4133</v>
      </c>
      <c r="L398" t="s">
        <v>113</v>
      </c>
      <c r="M398">
        <v>8</v>
      </c>
      <c r="N398" t="s">
        <v>1148</v>
      </c>
      <c r="O398" t="s">
        <v>1149</v>
      </c>
      <c r="Q398" t="s">
        <v>1150</v>
      </c>
      <c r="R398" t="s">
        <v>112</v>
      </c>
      <c r="S398" t="s">
        <v>94</v>
      </c>
      <c r="T398" t="s">
        <v>1151</v>
      </c>
      <c r="U398" t="s">
        <v>62</v>
      </c>
      <c r="V398">
        <v>2813743050</v>
      </c>
      <c r="W398" s="1">
        <v>109769</v>
      </c>
      <c r="X398">
        <v>2</v>
      </c>
      <c r="Y398">
        <v>2</v>
      </c>
      <c r="Z398">
        <v>2016</v>
      </c>
      <c r="AA398" t="s">
        <v>70</v>
      </c>
      <c r="AB398" t="s">
        <v>1152</v>
      </c>
      <c r="AD398" t="s">
        <v>1153</v>
      </c>
      <c r="AE398">
        <v>4789</v>
      </c>
      <c r="AF398" t="s">
        <v>1154</v>
      </c>
      <c r="AI398">
        <v>47890000</v>
      </c>
      <c r="AJ398" t="s">
        <v>1155</v>
      </c>
      <c r="AM398">
        <v>488999</v>
      </c>
      <c r="AN398" t="s">
        <v>1156</v>
      </c>
      <c r="AQ398" t="s">
        <v>75</v>
      </c>
      <c r="AT398" t="s">
        <v>76</v>
      </c>
      <c r="BF398">
        <v>0</v>
      </c>
      <c r="BG398">
        <v>0</v>
      </c>
      <c r="CK398" s="19">
        <f>IF(BQ398&gt;0,BQ398,W398)</f>
        <v>109769</v>
      </c>
      <c r="CL398" s="20">
        <f>IF(BS398&gt;0,BS398,Y398)</f>
        <v>2</v>
      </c>
      <c r="CM398" s="34">
        <f>IF(CG398&gt;0,CG398,AM398)</f>
        <v>488999</v>
      </c>
      <c r="CN398" s="80">
        <f>IF($BH398="",1,COUNTIF($BH$3:$BH398,$BH398))</f>
        <v>1</v>
      </c>
      <c r="CP398" t="str">
        <f>IF($K398="Standard Match","Match",IF($K398="Name Only Match",IF($CO398="Yes","Match","Name Only Match"),"No Match"))</f>
        <v>Match</v>
      </c>
      <c r="CQ398" s="35" t="str">
        <f>IF(AND(CP398="Match",CK398&gt;0,CL398&gt;0),"Y","N")</f>
        <v>Y</v>
      </c>
      <c r="CS398" t="str">
        <f>IF($CQ398="Y",VLOOKUP($CM398,'SBA Size Standards'!$B$3:$G$57,MATCH('SBA Size Standards'!$G$3,'SBA Size Standards'!$B$3:$G$3,0),FALSE),"")</f>
        <v>Revenue</v>
      </c>
      <c r="CT398" s="60">
        <f>IF(CQ398="Y",IF($CS398="Employment","N/A",VLOOKUP($CM398,'SBA Size Standards'!$B$3:$G$57,MATCH('SBA Size Standards'!$E$3,'SBA Size Standards'!$B$3:$G$3,0),FALSE)),"")</f>
        <v>8000000</v>
      </c>
      <c r="CU398" s="86" t="str">
        <f>IF($CQ398="Y",IF($CS398="Revenue","N/A",VLOOKUP($CM398,'SBA Size Standards'!$B$3:$G$57,MATCH('SBA Size Standards'!$F$3,'SBA Size Standards'!$B$3:$G$3,0),FALSE)),"")</f>
        <v>N/A</v>
      </c>
      <c r="CV398" t="str">
        <f>IF($CQ398="Y",IF(OR(AND($CS398="Employment",$CL398&lt;$CU398),AND($CS398="Revenue",$CK398&lt;$CT398)),"YES","NO"),"")</f>
        <v>YES</v>
      </c>
      <c r="CW398" s="90" t="str">
        <f>IF($CQ398="Y",INDEX('SBA Size Standards'!$N$3:$N$12,MATCH($CK398,'SBA Size Standards'!$O$3:$O$12,1)),"")</f>
        <v>$100,001 - $500,000</v>
      </c>
      <c r="CX398" s="122" t="s">
        <v>4835</v>
      </c>
      <c r="CY398" s="122">
        <f>INDEX('NM O&amp;G Production'!$P$3:$P$537,MATCH(CX398,'NM O&amp;G Production'!$Q$3:$Q$537,0))</f>
        <v>150</v>
      </c>
      <c r="CZ398" s="122" t="str">
        <f>INDEX('NM O&amp;G Production'!$O$3:$O$537,MATCH(CY398,'NM O&amp;G Production'!$P$3:$P$537,0))</f>
        <v>No</v>
      </c>
      <c r="DA398" s="127">
        <f>INDEX('NM O&amp;G Production'!$K$3:$O$537,MATCH($CY398,'NM O&amp;G Production'!$P$3:$P$537,0),MATCH(DA$2,'NM O&amp;G Production'!$K$2:$O$2,0))</f>
        <v>0</v>
      </c>
      <c r="DB398" s="127">
        <f>INDEX('NM O&amp;G Production'!$K$3:$O$537,MATCH($CY398,'NM O&amp;G Production'!$P$3:$P$537,0),MATCH(DB$2,'NM O&amp;G Production'!$K$2:$O$2,0))</f>
        <v>0</v>
      </c>
      <c r="DC398" s="127"/>
      <c r="DD398" s="127">
        <f>INDEX('NM O&amp;G Production'!$K$3:$O$537,MATCH($CY398,'NM O&amp;G Production'!$P$3:$P$537,0),MATCH(DD$2,'NM O&amp;G Production'!$K$2:$O$2,0))</f>
        <v>0</v>
      </c>
      <c r="DE398" s="127">
        <f>INDEX('NM O&amp;G Production'!$K$3:$O$537,MATCH($CY398,'NM O&amp;G Production'!$P$3:$P$537,0),MATCH(DE$2,'NM O&amp;G Production'!$K$2:$O$2,0))</f>
        <v>0</v>
      </c>
      <c r="DF398" s="258" t="e">
        <f>CK398/(DB398+DA398)</f>
        <v>#DIV/0!</v>
      </c>
      <c r="DG398" s="57">
        <f>DD398*(12/18)*1.06*'Oil and Gas Prices'!$C$18</f>
        <v>0</v>
      </c>
      <c r="DH398" s="284">
        <f>DE398*(12/18)*'Oil and Gas Prices'!$C$4</f>
        <v>0</v>
      </c>
      <c r="DI398" s="284"/>
      <c r="DJ398" s="57" t="e">
        <f>(DG398+DH398)/(DA398+DB398)</f>
        <v>#DIV/0!</v>
      </c>
      <c r="DK398" s="18" t="e">
        <f>CK398/DI398</f>
        <v>#DIV/0!</v>
      </c>
    </row>
    <row r="399" spans="1:115" x14ac:dyDescent="0.25">
      <c r="A399" t="s">
        <v>1071</v>
      </c>
      <c r="B399" t="s">
        <v>1072</v>
      </c>
      <c r="D399" t="s">
        <v>1073</v>
      </c>
      <c r="E399" t="s">
        <v>84</v>
      </c>
      <c r="F399">
        <v>87103</v>
      </c>
      <c r="G399" t="s">
        <v>62</v>
      </c>
      <c r="I399">
        <v>141</v>
      </c>
      <c r="J399" t="s">
        <v>63</v>
      </c>
      <c r="K399" t="s">
        <v>4133</v>
      </c>
      <c r="L399" t="s">
        <v>149</v>
      </c>
      <c r="M399">
        <v>10</v>
      </c>
      <c r="N399" t="s">
        <v>1074</v>
      </c>
      <c r="O399" t="s">
        <v>1075</v>
      </c>
      <c r="Q399" t="s">
        <v>1076</v>
      </c>
      <c r="R399" t="s">
        <v>1073</v>
      </c>
      <c r="S399" t="s">
        <v>214</v>
      </c>
      <c r="T399" t="s">
        <v>1077</v>
      </c>
      <c r="U399" t="s">
        <v>62</v>
      </c>
      <c r="V399">
        <v>5053264900</v>
      </c>
      <c r="W399" s="1">
        <v>107621</v>
      </c>
      <c r="X399">
        <v>1</v>
      </c>
      <c r="Y399">
        <v>1</v>
      </c>
      <c r="Z399">
        <v>1999</v>
      </c>
      <c r="AA399" t="s">
        <v>70</v>
      </c>
      <c r="AB399" t="s">
        <v>1078</v>
      </c>
      <c r="AC399" t="s">
        <v>145</v>
      </c>
      <c r="AD399" t="s">
        <v>119</v>
      </c>
      <c r="AE399">
        <v>1382</v>
      </c>
      <c r="AF399" t="s">
        <v>120</v>
      </c>
      <c r="AI399">
        <v>13820000</v>
      </c>
      <c r="AJ399" t="s">
        <v>119</v>
      </c>
      <c r="AM399">
        <v>213112</v>
      </c>
      <c r="AN399" t="s">
        <v>74</v>
      </c>
      <c r="AQ399" t="s">
        <v>75</v>
      </c>
      <c r="AT399" t="s">
        <v>76</v>
      </c>
      <c r="BF399">
        <v>0</v>
      </c>
      <c r="BG399">
        <v>0</v>
      </c>
      <c r="CK399" s="19">
        <f>IF(BQ399&gt;0,BQ399,W399)</f>
        <v>107621</v>
      </c>
      <c r="CL399" s="20">
        <f>IF(BS399&gt;0,BS399,Y399)</f>
        <v>1</v>
      </c>
      <c r="CM399" s="34">
        <f>IF(CG399&gt;0,CG399,AM399)</f>
        <v>213112</v>
      </c>
      <c r="CN399" s="80">
        <f>IF($BH399="",1,COUNTIF($BH$3:$BH399,$BH399))</f>
        <v>1</v>
      </c>
      <c r="CP399" t="str">
        <f>IF($K399="Standard Match","Match",IF($K399="Name Only Match",IF($CO399="Yes","Match","Name Only Match"),"No Match"))</f>
        <v>Match</v>
      </c>
      <c r="CQ399" s="35" t="str">
        <f>IF(AND(CP399="Match",CK399&gt;0,CL399&gt;0),"Y","N")</f>
        <v>Y</v>
      </c>
      <c r="CS399" t="str">
        <f>IF($CQ399="Y",VLOOKUP($CM399,'SBA Size Standards'!$B$3:$G$57,MATCH('SBA Size Standards'!$G$3,'SBA Size Standards'!$B$3:$G$3,0),FALSE),"")</f>
        <v>Revenue</v>
      </c>
      <c r="CT399" s="60">
        <f>IF(CQ399="Y",IF($CS399="Employment","N/A",VLOOKUP($CM399,'SBA Size Standards'!$B$3:$G$57,MATCH('SBA Size Standards'!$E$3,'SBA Size Standards'!$B$3:$G$3,0),FALSE)),"")</f>
        <v>41500000</v>
      </c>
      <c r="CU399" s="86" t="str">
        <f>IF($CQ399="Y",IF($CS399="Revenue","N/A",VLOOKUP($CM399,'SBA Size Standards'!$B$3:$G$57,MATCH('SBA Size Standards'!$F$3,'SBA Size Standards'!$B$3:$G$3,0),FALSE)),"")</f>
        <v>N/A</v>
      </c>
      <c r="CV399" t="str">
        <f>IF($CQ399="Y",IF(OR(AND($CS399="Employment",$CL399&lt;$CU399),AND($CS399="Revenue",$CK399&lt;$CT399)),"YES","NO"),"")</f>
        <v>YES</v>
      </c>
      <c r="CW399" s="90" t="str">
        <f>IF($CQ399="Y",INDEX('SBA Size Standards'!$N$3:$N$12,MATCH($CK399,'SBA Size Standards'!$O$3:$O$12,1)),"")</f>
        <v>$100,001 - $500,000</v>
      </c>
      <c r="CX399" s="122" t="s">
        <v>4597</v>
      </c>
      <c r="CY399" s="122">
        <f>INDEX('NM O&amp;G Production'!$P$3:$P$537,MATCH(CX399,'NM O&amp;G Production'!$Q$3:$Q$537,0))</f>
        <v>141</v>
      </c>
      <c r="CZ399" s="122" t="str">
        <f>INDEX('NM O&amp;G Production'!$O$3:$O$537,MATCH(CY399,'NM O&amp;G Production'!$P$3:$P$537,0))</f>
        <v>Yes</v>
      </c>
      <c r="DA399" s="127">
        <f>INDEX('NM O&amp;G Production'!$K$3:$O$537,MATCH($CY399,'NM O&amp;G Production'!$P$3:$P$537,0),MATCH(DA$2,'NM O&amp;G Production'!$K$2:$O$2,0))</f>
        <v>0</v>
      </c>
      <c r="DB399" s="127">
        <f>INDEX('NM O&amp;G Production'!$K$3:$O$537,MATCH($CY399,'NM O&amp;G Production'!$P$3:$P$537,0),MATCH(DB$2,'NM O&amp;G Production'!$K$2:$O$2,0))</f>
        <v>11</v>
      </c>
      <c r="DC399" s="127">
        <f>DA399+DB399</f>
        <v>11</v>
      </c>
      <c r="DD399" s="127">
        <f>INDEX('NM O&amp;G Production'!$K$3:$O$537,MATCH($CY399,'NM O&amp;G Production'!$P$3:$P$537,0),MATCH(DD$2,'NM O&amp;G Production'!$K$2:$O$2,0))</f>
        <v>7680</v>
      </c>
      <c r="DE399" s="127">
        <f>INDEX('NM O&amp;G Production'!$K$3:$O$537,MATCH($CY399,'NM O&amp;G Production'!$P$3:$P$537,0),MATCH(DE$2,'NM O&amp;G Production'!$K$2:$O$2,0))</f>
        <v>1833</v>
      </c>
      <c r="DF399" s="258">
        <f>CK399/(DB399+DA399)</f>
        <v>9783.7272727272721</v>
      </c>
      <c r="DG399" s="57">
        <f>DD399*(12/18)*1.06*'Oil and Gas Prices'!$C$18</f>
        <v>12971.008000000002</v>
      </c>
      <c r="DH399" s="284">
        <f>DE399*(12/18)*'Oil and Gas Prices'!$C$4</f>
        <v>54990</v>
      </c>
      <c r="DI399" s="284">
        <f>DG399+DH399</f>
        <v>67961.008000000002</v>
      </c>
      <c r="DJ399" s="57">
        <f>(DG399+DH399)/(DA399+DB399)</f>
        <v>6178.273454545455</v>
      </c>
      <c r="DK399" s="318"/>
    </row>
    <row r="400" spans="1:115" x14ac:dyDescent="0.25">
      <c r="A400" s="21" t="s">
        <v>2469</v>
      </c>
      <c r="B400" s="21" t="s">
        <v>2470</v>
      </c>
      <c r="C400" s="21"/>
      <c r="D400" s="21" t="s">
        <v>378</v>
      </c>
      <c r="E400" s="21" t="s">
        <v>80</v>
      </c>
      <c r="F400">
        <v>75252</v>
      </c>
      <c r="G400" t="s">
        <v>62</v>
      </c>
      <c r="I400">
        <v>353</v>
      </c>
      <c r="J400" t="s">
        <v>89</v>
      </c>
      <c r="K400" t="s">
        <v>4134</v>
      </c>
      <c r="L400" t="s">
        <v>3627</v>
      </c>
      <c r="M400">
        <v>8</v>
      </c>
      <c r="N400" t="s">
        <v>3929</v>
      </c>
      <c r="O400" s="21" t="s">
        <v>3930</v>
      </c>
      <c r="P400" s="21"/>
      <c r="Q400" s="21" t="s">
        <v>3931</v>
      </c>
      <c r="R400" s="21" t="s">
        <v>209</v>
      </c>
      <c r="S400" s="21" t="s">
        <v>214</v>
      </c>
      <c r="T400" t="s">
        <v>3515</v>
      </c>
      <c r="U400" t="s">
        <v>62</v>
      </c>
      <c r="W400" s="23">
        <v>102515</v>
      </c>
      <c r="X400" s="21">
        <v>2</v>
      </c>
      <c r="Y400" s="21">
        <v>2</v>
      </c>
      <c r="Z400">
        <v>2017</v>
      </c>
      <c r="AA400" s="21" t="s">
        <v>70</v>
      </c>
      <c r="AD400" s="21" t="s">
        <v>825</v>
      </c>
      <c r="AE400">
        <v>5172</v>
      </c>
      <c r="AF400" t="s">
        <v>826</v>
      </c>
      <c r="AI400">
        <v>51720000</v>
      </c>
      <c r="AJ400" t="s">
        <v>825</v>
      </c>
      <c r="AM400" s="21">
        <v>424720</v>
      </c>
      <c r="AN400" s="21" t="s">
        <v>827</v>
      </c>
      <c r="AO400" s="21"/>
      <c r="AP400" s="21"/>
      <c r="AQ400" s="21" t="s">
        <v>75</v>
      </c>
      <c r="AT400" t="s">
        <v>76</v>
      </c>
      <c r="BF400">
        <v>0</v>
      </c>
      <c r="BG400" s="24">
        <v>0</v>
      </c>
      <c r="BH400" s="24"/>
      <c r="BI400" s="24"/>
      <c r="BJ400" s="24"/>
      <c r="BK400" s="24"/>
      <c r="BL400" s="24"/>
      <c r="BM400" s="24"/>
      <c r="BN400" s="24"/>
      <c r="BO400" s="24"/>
      <c r="BQ400" s="24"/>
      <c r="BR400" s="24"/>
      <c r="BS400" s="24"/>
      <c r="BU400" s="24"/>
      <c r="BX400" s="24"/>
      <c r="CG400" s="24"/>
      <c r="CH400" s="24"/>
      <c r="CI400" s="24"/>
      <c r="CJ400" s="24"/>
      <c r="CK400" s="19">
        <f>IF(BQ400&gt;0,BQ400,W400)</f>
        <v>102515</v>
      </c>
      <c r="CL400" s="20">
        <f>IF(BS400&gt;0,BS400,Y400)</f>
        <v>2</v>
      </c>
      <c r="CM400" s="34">
        <f>IF(CG400&gt;0,CG400,AM400)</f>
        <v>424720</v>
      </c>
      <c r="CN400" s="80">
        <f>IF($BH400="",1,COUNTIF($BH$3:$BH400,$BH400))</f>
        <v>1</v>
      </c>
      <c r="CO400" s="33" t="s">
        <v>4386</v>
      </c>
      <c r="CP400" t="str">
        <f>IF($K400="Standard Match","Match",IF($K400="Name Only Match",IF($CO400="Yes","Match","Name Only Match"),"No Match"))</f>
        <v>Match</v>
      </c>
      <c r="CQ400" s="35" t="str">
        <f>IF(AND(CP400="Match",CK400&gt;0,CL400&gt;0),"Y","N")</f>
        <v>Y</v>
      </c>
      <c r="CR400" s="21"/>
      <c r="CS400" t="str">
        <f>IF($CQ400="Y",VLOOKUP($CM400,'SBA Size Standards'!$B$3:$G$57,MATCH('SBA Size Standards'!$G$3,'SBA Size Standards'!$B$3:$G$3,0),FALSE),"")</f>
        <v>Employment</v>
      </c>
      <c r="CT400" s="60" t="str">
        <f>IF(CQ400="Y",IF($CS400="Employment","N/A",VLOOKUP($CM400,'SBA Size Standards'!$B$3:$G$57,MATCH('SBA Size Standards'!$E$3,'SBA Size Standards'!$B$3:$G$3,0),FALSE)),"")</f>
        <v>N/A</v>
      </c>
      <c r="CU400" s="86">
        <f>IF($CQ400="Y",IF($CS400="Revenue","N/A",VLOOKUP($CM400,'SBA Size Standards'!$B$3:$G$57,MATCH('SBA Size Standards'!$F$3,'SBA Size Standards'!$B$3:$G$3,0),FALSE)),"")</f>
        <v>200</v>
      </c>
      <c r="CV400" t="str">
        <f>IF($CQ400="Y",IF(OR(AND($CS400="Employment",$CL400&lt;$CU400),AND($CS400="Revenue",$CK400&lt;$CT400)),"YES","NO"),"")</f>
        <v>YES</v>
      </c>
      <c r="CW400" s="90" t="str">
        <f>IF($CQ400="Y",INDEX('SBA Size Standards'!$N$3:$N$12,MATCH($CK400,'SBA Size Standards'!$O$3:$O$12,1)),"")</f>
        <v>$100,001 - $500,000</v>
      </c>
      <c r="CX400" s="122" t="s">
        <v>4983</v>
      </c>
      <c r="CY400" s="122">
        <f>INDEX('NM O&amp;G Production'!$P$3:$P$537,MATCH(CX400,'NM O&amp;G Production'!$Q$3:$Q$537,0))</f>
        <v>353</v>
      </c>
      <c r="CZ400" s="122" t="str">
        <f>INDEX('NM O&amp;G Production'!$O$3:$O$537,MATCH(CY400,'NM O&amp;G Production'!$P$3:$P$537,0))</f>
        <v>Yes</v>
      </c>
      <c r="DA400" s="127">
        <f>INDEX('NM O&amp;G Production'!$K$3:$O$537,MATCH($CY400,'NM O&amp;G Production'!$P$3:$P$537,0),MATCH(DA$2,'NM O&amp;G Production'!$K$2:$O$2,0))</f>
        <v>1</v>
      </c>
      <c r="DB400" s="127">
        <f>INDEX('NM O&amp;G Production'!$K$3:$O$537,MATCH($CY400,'NM O&amp;G Production'!$P$3:$P$537,0),MATCH(DB$2,'NM O&amp;G Production'!$K$2:$O$2,0))</f>
        <v>13</v>
      </c>
      <c r="DC400" s="127">
        <f>DA400+DB400</f>
        <v>14</v>
      </c>
      <c r="DD400" s="127">
        <f>INDEX('NM O&amp;G Production'!$K$3:$O$537,MATCH($CY400,'NM O&amp;G Production'!$P$3:$P$537,0),MATCH(DD$2,'NM O&amp;G Production'!$K$2:$O$2,0))</f>
        <v>1624</v>
      </c>
      <c r="DE400" s="127">
        <f>INDEX('NM O&amp;G Production'!$K$3:$O$537,MATCH($CY400,'NM O&amp;G Production'!$P$3:$P$537,0),MATCH(DE$2,'NM O&amp;G Production'!$K$2:$O$2,0))</f>
        <v>1300</v>
      </c>
      <c r="DF400" s="258">
        <f>CK400/(DB400+DA400)</f>
        <v>7322.5</v>
      </c>
      <c r="DG400" s="57">
        <f>DD400*(12/18)*1.06*'Oil and Gas Prices'!$C$18</f>
        <v>2742.8277333333331</v>
      </c>
      <c r="DH400" s="284">
        <f>DE400*(12/18)*'Oil and Gas Prices'!$C$4</f>
        <v>39000</v>
      </c>
      <c r="DI400" s="284">
        <f>DG400+DH400</f>
        <v>41742.827733333332</v>
      </c>
      <c r="DJ400" s="57">
        <f>(DG400+DH400)/(DA400+DB400)</f>
        <v>2981.6305523809524</v>
      </c>
      <c r="DK400" s="318"/>
    </row>
    <row r="401" spans="1:115" x14ac:dyDescent="0.25">
      <c r="A401" t="s">
        <v>1226</v>
      </c>
      <c r="B401" t="s">
        <v>1227</v>
      </c>
      <c r="D401" t="s">
        <v>1228</v>
      </c>
      <c r="E401" t="s">
        <v>80</v>
      </c>
      <c r="F401">
        <v>78624</v>
      </c>
      <c r="G401" t="s">
        <v>62</v>
      </c>
      <c r="I401">
        <v>161</v>
      </c>
      <c r="J401" t="s">
        <v>63</v>
      </c>
      <c r="K401" t="s">
        <v>4133</v>
      </c>
      <c r="L401" t="s">
        <v>64</v>
      </c>
      <c r="M401">
        <v>10</v>
      </c>
      <c r="N401" t="s">
        <v>1229</v>
      </c>
      <c r="O401" t="s">
        <v>1230</v>
      </c>
      <c r="Q401" t="s">
        <v>1231</v>
      </c>
      <c r="R401" t="s">
        <v>1228</v>
      </c>
      <c r="S401" t="s">
        <v>94</v>
      </c>
      <c r="T401" t="s">
        <v>1232</v>
      </c>
      <c r="U401" t="s">
        <v>62</v>
      </c>
      <c r="W401" s="1">
        <v>102136</v>
      </c>
      <c r="X401">
        <v>3</v>
      </c>
      <c r="Y401">
        <v>3</v>
      </c>
      <c r="Z401">
        <v>2015</v>
      </c>
      <c r="AA401" t="s">
        <v>70</v>
      </c>
      <c r="AB401" t="s">
        <v>1233</v>
      </c>
      <c r="AC401" t="s">
        <v>1234</v>
      </c>
      <c r="AD401" t="s">
        <v>1235</v>
      </c>
      <c r="AE401">
        <v>4911</v>
      </c>
      <c r="AF401" t="s">
        <v>1236</v>
      </c>
      <c r="AI401">
        <v>49110000</v>
      </c>
      <c r="AJ401" t="s">
        <v>1237</v>
      </c>
      <c r="AM401">
        <v>221118</v>
      </c>
      <c r="AN401" t="s">
        <v>1238</v>
      </c>
      <c r="AQ401" t="s">
        <v>75</v>
      </c>
      <c r="AT401" t="s">
        <v>76</v>
      </c>
      <c r="BF401">
        <v>0</v>
      </c>
      <c r="BG401">
        <v>0</v>
      </c>
      <c r="CK401" s="19">
        <f>IF(BQ401&gt;0,BQ401,W401)</f>
        <v>102136</v>
      </c>
      <c r="CL401" s="20">
        <f>IF(BS401&gt;0,BS401,Y401)</f>
        <v>3</v>
      </c>
      <c r="CM401" s="34">
        <f>IF(CG401&gt;0,CG401,AM401)</f>
        <v>221118</v>
      </c>
      <c r="CN401" s="80">
        <f>IF($BH401="",1,COUNTIF($BH$3:$BH401,$BH401))</f>
        <v>1</v>
      </c>
      <c r="CP401" t="str">
        <f>IF($K401="Standard Match","Match",IF($K401="Name Only Match",IF($CO401="Yes","Match","Name Only Match"),"No Match"))</f>
        <v>Match</v>
      </c>
      <c r="CQ401" s="35" t="str">
        <f>IF(AND(CP401="Match",CK401&gt;0,CL401&gt;0),"Y","N")</f>
        <v>Y</v>
      </c>
      <c r="CS401" t="str">
        <f>IF($CQ401="Y",VLOOKUP($CM401,'SBA Size Standards'!$B$3:$G$57,MATCH('SBA Size Standards'!$G$3,'SBA Size Standards'!$B$3:$G$3,0),FALSE),"")</f>
        <v>Employment</v>
      </c>
      <c r="CT401" s="60" t="str">
        <f>IF(CQ401="Y",IF($CS401="Employment","N/A",VLOOKUP($CM401,'SBA Size Standards'!$B$3:$G$57,MATCH('SBA Size Standards'!$E$3,'SBA Size Standards'!$B$3:$G$3,0),FALSE)),"")</f>
        <v>N/A</v>
      </c>
      <c r="CU401" s="86">
        <f>IF($CQ401="Y",IF($CS401="Revenue","N/A",VLOOKUP($CM401,'SBA Size Standards'!$B$3:$G$57,MATCH('SBA Size Standards'!$F$3,'SBA Size Standards'!$B$3:$G$3,0),FALSE)),"")</f>
        <v>250</v>
      </c>
      <c r="CV401" t="str">
        <f>IF($CQ401="Y",IF(OR(AND($CS401="Employment",$CL401&lt;$CU401),AND($CS401="Revenue",$CK401&lt;$CT401)),"YES","NO"),"")</f>
        <v>YES</v>
      </c>
      <c r="CW401" s="90" t="str">
        <f>IF($CQ401="Y",INDEX('SBA Size Standards'!$N$3:$N$12,MATCH($CK401,'SBA Size Standards'!$O$3:$O$12,1)),"")</f>
        <v>$100,001 - $500,000</v>
      </c>
      <c r="CX401" s="122" t="s">
        <v>4606</v>
      </c>
      <c r="CY401" s="122">
        <f>INDEX('NM O&amp;G Production'!$P$3:$P$537,MATCH(CX401,'NM O&amp;G Production'!$Q$3:$Q$537,0))</f>
        <v>161</v>
      </c>
      <c r="CZ401" s="122" t="str">
        <f>INDEX('NM O&amp;G Production'!$O$3:$O$537,MATCH(CY401,'NM O&amp;G Production'!$P$3:$P$537,0))</f>
        <v>Yes</v>
      </c>
      <c r="DA401" s="127">
        <f>INDEX('NM O&amp;G Production'!$K$3:$O$537,MATCH($CY401,'NM O&amp;G Production'!$P$3:$P$537,0),MATCH(DA$2,'NM O&amp;G Production'!$K$2:$O$2,0))</f>
        <v>2</v>
      </c>
      <c r="DB401" s="127">
        <f>INDEX('NM O&amp;G Production'!$K$3:$O$537,MATCH($CY401,'NM O&amp;G Production'!$P$3:$P$537,0),MATCH(DB$2,'NM O&amp;G Production'!$K$2:$O$2,0))</f>
        <v>10</v>
      </c>
      <c r="DC401" s="127">
        <f>DA401+DB401</f>
        <v>12</v>
      </c>
      <c r="DD401" s="127">
        <f>INDEX('NM O&amp;G Production'!$K$3:$O$537,MATCH($CY401,'NM O&amp;G Production'!$P$3:$P$537,0),MATCH(DD$2,'NM O&amp;G Production'!$K$2:$O$2,0))</f>
        <v>20763</v>
      </c>
      <c r="DE401" s="127">
        <f>INDEX('NM O&amp;G Production'!$K$3:$O$537,MATCH($CY401,'NM O&amp;G Production'!$P$3:$P$537,0),MATCH(DE$2,'NM O&amp;G Production'!$K$2:$O$2,0))</f>
        <v>25258</v>
      </c>
      <c r="DF401" s="258">
        <f>CK401/(DB401+DA401)</f>
        <v>8511.3333333333339</v>
      </c>
      <c r="DG401" s="57">
        <f>DD401*(12/18)*1.06*'Oil and Gas Prices'!$C$18</f>
        <v>35067.322800000002</v>
      </c>
      <c r="DH401" s="284">
        <f>DE401*(12/18)*'Oil and Gas Prices'!$C$4</f>
        <v>757739.99999999988</v>
      </c>
      <c r="DI401" s="284">
        <f>DG401+DH401</f>
        <v>792807.32279999985</v>
      </c>
      <c r="DJ401" s="57">
        <f>(DG401+DH401)/(DA401+DB401)</f>
        <v>66067.276899999983</v>
      </c>
      <c r="DK401" s="318"/>
    </row>
    <row r="402" spans="1:115" x14ac:dyDescent="0.25">
      <c r="A402" s="231" t="s">
        <v>3082</v>
      </c>
      <c r="B402" s="231" t="s">
        <v>3083</v>
      </c>
      <c r="C402" s="231"/>
      <c r="D402" s="231" t="s">
        <v>112</v>
      </c>
      <c r="E402" s="231" t="s">
        <v>80</v>
      </c>
      <c r="F402" s="231">
        <v>77024</v>
      </c>
      <c r="G402" s="231" t="s">
        <v>62</v>
      </c>
      <c r="I402">
        <v>450</v>
      </c>
      <c r="J402" s="231" t="s">
        <v>63</v>
      </c>
      <c r="K402" s="231" t="s">
        <v>4133</v>
      </c>
      <c r="L402" s="231" t="s">
        <v>64</v>
      </c>
      <c r="M402" s="231">
        <v>10</v>
      </c>
      <c r="N402" s="231" t="s">
        <v>3084</v>
      </c>
      <c r="O402" s="231" t="s">
        <v>3085</v>
      </c>
      <c r="P402" s="231"/>
      <c r="Q402" s="231" t="s">
        <v>3086</v>
      </c>
      <c r="R402" s="231" t="s">
        <v>112</v>
      </c>
      <c r="S402" s="231" t="s">
        <v>94</v>
      </c>
      <c r="T402" s="231" t="s">
        <v>3087</v>
      </c>
      <c r="U402" s="231" t="s">
        <v>62</v>
      </c>
      <c r="V402">
        <v>8329308502</v>
      </c>
      <c r="W402" s="232">
        <v>99168</v>
      </c>
      <c r="X402" s="231">
        <v>4</v>
      </c>
      <c r="Y402" s="231">
        <v>4</v>
      </c>
      <c r="Z402" s="231">
        <v>2019</v>
      </c>
      <c r="AA402" s="231" t="s">
        <v>70</v>
      </c>
      <c r="AB402" t="s">
        <v>3088</v>
      </c>
      <c r="AC402" t="s">
        <v>145</v>
      </c>
      <c r="AD402" t="s">
        <v>119</v>
      </c>
      <c r="AE402">
        <v>1382</v>
      </c>
      <c r="AF402" t="s">
        <v>120</v>
      </c>
      <c r="AI402">
        <v>13820000</v>
      </c>
      <c r="AJ402" t="s">
        <v>119</v>
      </c>
      <c r="AM402" s="231">
        <v>213112</v>
      </c>
      <c r="AN402" s="231" t="s">
        <v>74</v>
      </c>
      <c r="AO402" s="231"/>
      <c r="AP402" s="231"/>
      <c r="AQ402" s="231" t="s">
        <v>75</v>
      </c>
      <c r="AT402" t="s">
        <v>76</v>
      </c>
      <c r="BF402">
        <v>0</v>
      </c>
      <c r="BG402">
        <v>0</v>
      </c>
      <c r="BH402" s="231"/>
      <c r="BI402" s="231"/>
      <c r="BJ402" s="231"/>
      <c r="BK402" s="231"/>
      <c r="BL402" s="231"/>
      <c r="BM402" s="231"/>
      <c r="BN402" s="231"/>
      <c r="BO402" s="231"/>
      <c r="BQ402" s="231"/>
      <c r="BR402" s="231"/>
      <c r="BS402" s="231"/>
      <c r="CG402" s="231"/>
      <c r="CH402" s="231"/>
      <c r="CI402" s="231"/>
      <c r="CJ402" s="231"/>
      <c r="CK402" s="233">
        <f>IF(BQ402&gt;0,BQ402,W402)</f>
        <v>99168</v>
      </c>
      <c r="CL402" s="234">
        <f>IF(BS402&gt;0,BS402,Y402)</f>
        <v>4</v>
      </c>
      <c r="CM402" s="235">
        <f>IF(CG402&gt;0,CG402,AM402)</f>
        <v>213112</v>
      </c>
      <c r="CN402" s="236">
        <f>IF($BH402="",1,COUNTIF($BH$3:$BH402,$BH402))</f>
        <v>1</v>
      </c>
      <c r="CO402" s="231"/>
      <c r="CP402" s="231" t="str">
        <f>IF($K402="Standard Match","Match",IF($K402="Name Only Match",IF($CO402="Yes","Match","Name Only Match"),"No Match"))</f>
        <v>Match</v>
      </c>
      <c r="CQ402" s="237" t="str">
        <f>IF(AND(CP402="Match",CK402&gt;0,CL402&gt;0),"Y","N")</f>
        <v>Y</v>
      </c>
      <c r="CR402" s="231"/>
      <c r="CS402" s="231" t="str">
        <f>IF($CQ402="Y",VLOOKUP($CM402,'SBA Size Standards'!$B$3:$G$57,MATCH('SBA Size Standards'!$G$3,'SBA Size Standards'!$B$3:$G$3,0),FALSE),"")</f>
        <v>Revenue</v>
      </c>
      <c r="CT402" s="238">
        <f>IF(CQ402="Y",IF($CS402="Employment","N/A",VLOOKUP($CM402,'SBA Size Standards'!$B$3:$G$57,MATCH('SBA Size Standards'!$E$3,'SBA Size Standards'!$B$3:$G$3,0),FALSE)),"")</f>
        <v>41500000</v>
      </c>
      <c r="CU402" s="239" t="str">
        <f>IF($CQ402="Y",IF($CS402="Revenue","N/A",VLOOKUP($CM402,'SBA Size Standards'!$B$3:$G$57,MATCH('SBA Size Standards'!$F$3,'SBA Size Standards'!$B$3:$G$3,0),FALSE)),"")</f>
        <v>N/A</v>
      </c>
      <c r="CV402" s="231" t="str">
        <f>IF($CQ402="Y",IF(OR(AND($CS402="Employment",$CL402&lt;$CU402),AND($CS402="Revenue",$CK402&lt;$CT402)),"YES","NO"),"")</f>
        <v>YES</v>
      </c>
      <c r="CW402" s="235" t="str">
        <f>IF($CQ402="Y",INDEX('SBA Size Standards'!$N$3:$N$12,MATCH($CK402,'SBA Size Standards'!$O$3:$O$12,1)),"")</f>
        <v>$50,001 - $100,000</v>
      </c>
      <c r="CX402" s="235" t="s">
        <v>4755</v>
      </c>
      <c r="CY402" s="235">
        <f>INDEX('NM O&amp;G Production'!$P$3:$P$537,MATCH(CX402,'NM O&amp;G Production'!$Q$3:$Q$537,0))</f>
        <v>450</v>
      </c>
      <c r="CZ402" s="235" t="str">
        <f>INDEX('NM O&amp;G Production'!$O$3:$O$537,MATCH(CY402,'NM O&amp;G Production'!$P$3:$P$537,0))</f>
        <v>Yes</v>
      </c>
      <c r="DA402" s="240">
        <f>INDEX('NM O&amp;G Production'!$K$3:$O$537,MATCH($CY402,'NM O&amp;G Production'!$P$3:$P$537,0),MATCH(DA$2,'NM O&amp;G Production'!$K$2:$O$2,0))</f>
        <v>448</v>
      </c>
      <c r="DB402" s="240">
        <f>INDEX('NM O&amp;G Production'!$K$3:$O$537,MATCH($CY402,'NM O&amp;G Production'!$P$3:$P$537,0),MATCH(DB$2,'NM O&amp;G Production'!$K$2:$O$2,0))</f>
        <v>2181</v>
      </c>
      <c r="DC402" s="127">
        <f>DA402+DB402</f>
        <v>2629</v>
      </c>
      <c r="DD402" s="240">
        <f>INDEX('NM O&amp;G Production'!$K$3:$O$537,MATCH($CY402,'NM O&amp;G Production'!$P$3:$P$537,0),MATCH(DD$2,'NM O&amp;G Production'!$K$2:$O$2,0))</f>
        <v>36088510</v>
      </c>
      <c r="DE402" s="240">
        <f>INDEX('NM O&amp;G Production'!$K$3:$O$537,MATCH($CY402,'NM O&amp;G Production'!$P$3:$P$537,0),MATCH(DE$2,'NM O&amp;G Production'!$K$2:$O$2,0))</f>
        <v>9502948</v>
      </c>
      <c r="DF402" s="258">
        <f>CK402/(DB402+DA402)</f>
        <v>37.72080639026246</v>
      </c>
      <c r="DG402" s="57">
        <f>DD402*(12/18)*1.06*'Oil and Gas Prices'!$C$18</f>
        <v>60951087.489333339</v>
      </c>
      <c r="DH402" s="284">
        <f>DE402*(12/18)*'Oil and Gas Prices'!$C$4</f>
        <v>285088440</v>
      </c>
      <c r="DI402" s="284">
        <f>DG402+DH402</f>
        <v>346039527.48933333</v>
      </c>
      <c r="DJ402" s="57">
        <f>(DG402+DH402)/(DA402+DB402)</f>
        <v>131624.0119776848</v>
      </c>
      <c r="DK402" s="318"/>
    </row>
    <row r="403" spans="1:115" x14ac:dyDescent="0.25">
      <c r="A403" t="s">
        <v>567</v>
      </c>
      <c r="B403" t="s">
        <v>568</v>
      </c>
      <c r="D403" t="s">
        <v>112</v>
      </c>
      <c r="E403" t="s">
        <v>80</v>
      </c>
      <c r="F403">
        <v>77042</v>
      </c>
      <c r="G403" t="s">
        <v>62</v>
      </c>
      <c r="I403">
        <v>70</v>
      </c>
      <c r="J403" t="s">
        <v>63</v>
      </c>
      <c r="K403" t="s">
        <v>4133</v>
      </c>
      <c r="L403" t="s">
        <v>113</v>
      </c>
      <c r="M403">
        <v>8</v>
      </c>
      <c r="N403" t="s">
        <v>569</v>
      </c>
      <c r="O403" t="s">
        <v>570</v>
      </c>
      <c r="Q403" t="s">
        <v>571</v>
      </c>
      <c r="R403" t="s">
        <v>112</v>
      </c>
      <c r="S403" t="s">
        <v>94</v>
      </c>
      <c r="T403" t="s">
        <v>572</v>
      </c>
      <c r="U403" t="s">
        <v>62</v>
      </c>
      <c r="V403">
        <v>7134972470</v>
      </c>
      <c r="W403" s="1">
        <v>98764</v>
      </c>
      <c r="X403">
        <v>4</v>
      </c>
      <c r="Y403">
        <v>4</v>
      </c>
      <c r="Z403">
        <v>2003</v>
      </c>
      <c r="AA403" t="s">
        <v>70</v>
      </c>
      <c r="AD403" t="s">
        <v>71</v>
      </c>
      <c r="AE403">
        <v>1389</v>
      </c>
      <c r="AF403" t="s">
        <v>72</v>
      </c>
      <c r="AI403">
        <v>13890204</v>
      </c>
      <c r="AJ403" t="s">
        <v>573</v>
      </c>
      <c r="AM403">
        <v>213112</v>
      </c>
      <c r="AN403" t="s">
        <v>74</v>
      </c>
      <c r="AQ403" t="s">
        <v>75</v>
      </c>
      <c r="AT403" t="s">
        <v>76</v>
      </c>
      <c r="BF403">
        <v>0</v>
      </c>
      <c r="BG403">
        <v>0</v>
      </c>
      <c r="CK403" s="19">
        <f>IF(BQ403&gt;0,BQ403,W403)</f>
        <v>98764</v>
      </c>
      <c r="CL403" s="20">
        <f>IF(BS403&gt;0,BS403,Y403)</f>
        <v>4</v>
      </c>
      <c r="CM403" s="34">
        <f>IF(CG403&gt;0,CG403,AM403)</f>
        <v>213112</v>
      </c>
      <c r="CN403" s="80">
        <f>IF($BH403="",1,COUNTIF($BH$3:$BH403,$BH403))</f>
        <v>1</v>
      </c>
      <c r="CP403" t="str">
        <f>IF($K403="Standard Match","Match",IF($K403="Name Only Match",IF($CO403="Yes","Match","Name Only Match"),"No Match"))</f>
        <v>Match</v>
      </c>
      <c r="CQ403" s="35" t="str">
        <f>IF(AND(CP403="Match",CK403&gt;0,CL403&gt;0),"Y","N")</f>
        <v>Y</v>
      </c>
      <c r="CS403" t="str">
        <f>IF($CQ403="Y",VLOOKUP($CM403,'SBA Size Standards'!$B$3:$G$57,MATCH('SBA Size Standards'!$G$3,'SBA Size Standards'!$B$3:$G$3,0),FALSE),"")</f>
        <v>Revenue</v>
      </c>
      <c r="CT403" s="60">
        <f>IF(CQ403="Y",IF($CS403="Employment","N/A",VLOOKUP($CM403,'SBA Size Standards'!$B$3:$G$57,MATCH('SBA Size Standards'!$E$3,'SBA Size Standards'!$B$3:$G$3,0),FALSE)),"")</f>
        <v>41500000</v>
      </c>
      <c r="CU403" s="86" t="str">
        <f>IF($CQ403="Y",IF($CS403="Revenue","N/A",VLOOKUP($CM403,'SBA Size Standards'!$B$3:$G$57,MATCH('SBA Size Standards'!$F$3,'SBA Size Standards'!$B$3:$G$3,0),FALSE)),"")</f>
        <v>N/A</v>
      </c>
      <c r="CV403" t="str">
        <f>IF($CQ403="Y",IF(OR(AND($CS403="Employment",$CL403&lt;$CU403),AND($CS403="Revenue",$CK403&lt;$CT403)),"YES","NO"),"")</f>
        <v>YES</v>
      </c>
      <c r="CW403" s="90" t="str">
        <f>IF($CQ403="Y",INDEX('SBA Size Standards'!$N$3:$N$12,MATCH($CK403,'SBA Size Standards'!$O$3:$O$12,1)),"")</f>
        <v>$50,001 - $100,000</v>
      </c>
      <c r="CX403" s="122" t="s">
        <v>4813</v>
      </c>
      <c r="CY403" s="122">
        <f>INDEX('NM O&amp;G Production'!$P$3:$P$537,MATCH(CX403,'NM O&amp;G Production'!$Q$3:$Q$537,0))</f>
        <v>70</v>
      </c>
      <c r="CZ403" s="122" t="str">
        <f>INDEX('NM O&amp;G Production'!$O$3:$O$537,MATCH(CY403,'NM O&amp;G Production'!$P$3:$P$537,0))</f>
        <v>No</v>
      </c>
      <c r="DA403" s="127">
        <f>INDEX('NM O&amp;G Production'!$K$3:$O$537,MATCH($CY403,'NM O&amp;G Production'!$P$3:$P$537,0),MATCH(DA$2,'NM O&amp;G Production'!$K$2:$O$2,0))</f>
        <v>0</v>
      </c>
      <c r="DB403" s="127">
        <f>INDEX('NM O&amp;G Production'!$K$3:$O$537,MATCH($CY403,'NM O&amp;G Production'!$P$3:$P$537,0),MATCH(DB$2,'NM O&amp;G Production'!$K$2:$O$2,0))</f>
        <v>0</v>
      </c>
      <c r="DC403" s="127"/>
      <c r="DD403" s="127">
        <f>INDEX('NM O&amp;G Production'!$K$3:$O$537,MATCH($CY403,'NM O&amp;G Production'!$P$3:$P$537,0),MATCH(DD$2,'NM O&amp;G Production'!$K$2:$O$2,0))</f>
        <v>0</v>
      </c>
      <c r="DE403" s="127">
        <f>INDEX('NM O&amp;G Production'!$K$3:$O$537,MATCH($CY403,'NM O&amp;G Production'!$P$3:$P$537,0),MATCH(DE$2,'NM O&amp;G Production'!$K$2:$O$2,0))</f>
        <v>0</v>
      </c>
      <c r="DF403" s="258" t="e">
        <f>CK403/(DB403+DA403)</f>
        <v>#DIV/0!</v>
      </c>
      <c r="DG403" s="57">
        <f>DD403*(12/18)*1.06*'Oil and Gas Prices'!$C$18</f>
        <v>0</v>
      </c>
      <c r="DH403" s="284">
        <f>DE403*(12/18)*'Oil and Gas Prices'!$C$4</f>
        <v>0</v>
      </c>
      <c r="DI403" s="284"/>
      <c r="DJ403" s="57" t="e">
        <f>(DG403+DH403)/(DA403+DB403)</f>
        <v>#DIV/0!</v>
      </c>
      <c r="DK403" s="18" t="e">
        <f>CK403/DI403</f>
        <v>#DIV/0!</v>
      </c>
    </row>
    <row r="404" spans="1:115" x14ac:dyDescent="0.25">
      <c r="A404" t="s">
        <v>2440</v>
      </c>
      <c r="B404" t="s">
        <v>2441</v>
      </c>
      <c r="D404" t="s">
        <v>123</v>
      </c>
      <c r="E404" t="s">
        <v>84</v>
      </c>
      <c r="F404">
        <v>87402</v>
      </c>
      <c r="G404" t="s">
        <v>62</v>
      </c>
      <c r="I404">
        <v>349</v>
      </c>
      <c r="J404" t="s">
        <v>63</v>
      </c>
      <c r="K404" t="s">
        <v>4133</v>
      </c>
      <c r="L404" t="s">
        <v>279</v>
      </c>
      <c r="M404">
        <v>8</v>
      </c>
      <c r="N404" t="s">
        <v>2442</v>
      </c>
      <c r="O404" t="s">
        <v>2443</v>
      </c>
      <c r="P404" t="s">
        <v>2444</v>
      </c>
      <c r="Q404" t="s">
        <v>2445</v>
      </c>
      <c r="R404" t="s">
        <v>2446</v>
      </c>
      <c r="S404" t="s">
        <v>68</v>
      </c>
      <c r="T404" t="s">
        <v>2447</v>
      </c>
      <c r="U404" t="s">
        <v>62</v>
      </c>
      <c r="V404">
        <v>5053309897</v>
      </c>
      <c r="W404" s="1">
        <v>98104</v>
      </c>
      <c r="X404">
        <v>1</v>
      </c>
      <c r="Y404">
        <v>1</v>
      </c>
      <c r="Z404">
        <v>2009</v>
      </c>
      <c r="AA404" t="s">
        <v>70</v>
      </c>
      <c r="AB404" t="s">
        <v>2448</v>
      </c>
      <c r="AC404" t="s">
        <v>98</v>
      </c>
      <c r="AD404" t="s">
        <v>2449</v>
      </c>
      <c r="AE404">
        <v>7699</v>
      </c>
      <c r="AF404" t="s">
        <v>760</v>
      </c>
      <c r="AI404">
        <v>76990501</v>
      </c>
      <c r="AJ404" t="s">
        <v>2450</v>
      </c>
      <c r="AM404">
        <v>811310</v>
      </c>
      <c r="AN404" t="s">
        <v>764</v>
      </c>
      <c r="AQ404" t="s">
        <v>75</v>
      </c>
      <c r="AT404" t="s">
        <v>76</v>
      </c>
      <c r="BF404">
        <v>0</v>
      </c>
      <c r="BG404">
        <v>0</v>
      </c>
      <c r="CK404" s="19">
        <f>IF(BQ404&gt;0,BQ404,W404)</f>
        <v>98104</v>
      </c>
      <c r="CL404" s="20">
        <f>IF(BS404&gt;0,BS404,Y404)</f>
        <v>1</v>
      </c>
      <c r="CM404" s="34">
        <f>IF(CG404&gt;0,CG404,AM404)</f>
        <v>811310</v>
      </c>
      <c r="CN404" s="80">
        <f>IF($BH404="",1,COUNTIF($BH$3:$BH404,$BH404))</f>
        <v>1</v>
      </c>
      <c r="CP404" t="str">
        <f>IF($K404="Standard Match","Match",IF($K404="Name Only Match",IF($CO404="Yes","Match","Name Only Match"),"No Match"))</f>
        <v>Match</v>
      </c>
      <c r="CQ404" s="35" t="str">
        <f>IF(AND(CP404="Match",CK404&gt;0,CL404&gt;0),"Y","N")</f>
        <v>Y</v>
      </c>
      <c r="CS404" t="str">
        <f>IF($CQ404="Y",VLOOKUP($CM404,'SBA Size Standards'!$B$3:$G$57,MATCH('SBA Size Standards'!$G$3,'SBA Size Standards'!$B$3:$G$3,0),FALSE),"")</f>
        <v>Revenue</v>
      </c>
      <c r="CT404" s="60">
        <f>IF(CQ404="Y",IF($CS404="Employment","N/A",VLOOKUP($CM404,'SBA Size Standards'!$B$3:$G$57,MATCH('SBA Size Standards'!$E$3,'SBA Size Standards'!$B$3:$G$3,0),FALSE)),"")</f>
        <v>8000000</v>
      </c>
      <c r="CU404" s="86" t="str">
        <f>IF($CQ404="Y",IF($CS404="Revenue","N/A",VLOOKUP($CM404,'SBA Size Standards'!$B$3:$G$57,MATCH('SBA Size Standards'!$F$3,'SBA Size Standards'!$B$3:$G$3,0),FALSE)),"")</f>
        <v>N/A</v>
      </c>
      <c r="CV404" t="str">
        <f>IF($CQ404="Y",IF(OR(AND($CS404="Employment",$CL404&lt;$CU404),AND($CS404="Revenue",$CK404&lt;$CT404)),"YES","NO"),"")</f>
        <v>YES</v>
      </c>
      <c r="CW404" s="90" t="str">
        <f>IF($CQ404="Y",INDEX('SBA Size Standards'!$N$3:$N$12,MATCH($CK404,'SBA Size Standards'!$O$3:$O$12,1)),"")</f>
        <v>$50,001 - $100,000</v>
      </c>
      <c r="CX404" s="122" t="s">
        <v>4882</v>
      </c>
      <c r="CY404" s="122">
        <f>INDEX('NM O&amp;G Production'!$P$3:$P$537,MATCH(CX404,'NM O&amp;G Production'!$Q$3:$Q$537,0))</f>
        <v>349</v>
      </c>
      <c r="CZ404" s="122" t="str">
        <f>INDEX('NM O&amp;G Production'!$O$3:$O$537,MATCH(CY404,'NM O&amp;G Production'!$P$3:$P$537,0))</f>
        <v>No</v>
      </c>
      <c r="DA404" s="127">
        <f>INDEX('NM O&amp;G Production'!$K$3:$O$537,MATCH($CY404,'NM O&amp;G Production'!$P$3:$P$537,0),MATCH(DA$2,'NM O&amp;G Production'!$K$2:$O$2,0))</f>
        <v>0</v>
      </c>
      <c r="DB404" s="127">
        <f>INDEX('NM O&amp;G Production'!$K$3:$O$537,MATCH($CY404,'NM O&amp;G Production'!$P$3:$P$537,0),MATCH(DB$2,'NM O&amp;G Production'!$K$2:$O$2,0))</f>
        <v>0</v>
      </c>
      <c r="DC404" s="127"/>
      <c r="DD404" s="127">
        <f>INDEX('NM O&amp;G Production'!$K$3:$O$537,MATCH($CY404,'NM O&amp;G Production'!$P$3:$P$537,0),MATCH(DD$2,'NM O&amp;G Production'!$K$2:$O$2,0))</f>
        <v>0</v>
      </c>
      <c r="DE404" s="127">
        <f>INDEX('NM O&amp;G Production'!$K$3:$O$537,MATCH($CY404,'NM O&amp;G Production'!$P$3:$P$537,0),MATCH(DE$2,'NM O&amp;G Production'!$K$2:$O$2,0))</f>
        <v>0</v>
      </c>
      <c r="DF404" s="258" t="e">
        <f>CK404/(DB404+DA404)</f>
        <v>#DIV/0!</v>
      </c>
      <c r="DG404" s="57">
        <f>DD404*(12/18)*1.06*'Oil and Gas Prices'!$C$18</f>
        <v>0</v>
      </c>
      <c r="DH404" s="284">
        <f>DE404*(12/18)*'Oil and Gas Prices'!$C$4</f>
        <v>0</v>
      </c>
      <c r="DI404" s="284"/>
      <c r="DJ404" s="57" t="e">
        <f>(DG404+DH404)/(DA404+DB404)</f>
        <v>#DIV/0!</v>
      </c>
      <c r="DK404" s="18" t="e">
        <f>CK404/DI404</f>
        <v>#DIV/0!</v>
      </c>
    </row>
    <row r="405" spans="1:115" x14ac:dyDescent="0.25">
      <c r="A405" s="21" t="s">
        <v>266</v>
      </c>
      <c r="B405" t="s">
        <v>267</v>
      </c>
      <c r="D405" t="s">
        <v>268</v>
      </c>
      <c r="E405" t="s">
        <v>84</v>
      </c>
      <c r="F405">
        <v>88260</v>
      </c>
      <c r="G405" t="s">
        <v>62</v>
      </c>
      <c r="I405">
        <v>24</v>
      </c>
      <c r="J405" t="s">
        <v>63</v>
      </c>
      <c r="K405" t="s">
        <v>4134</v>
      </c>
      <c r="L405" t="s">
        <v>3627</v>
      </c>
      <c r="M405">
        <v>8</v>
      </c>
      <c r="N405" t="s">
        <v>4076</v>
      </c>
      <c r="O405" s="21" t="s">
        <v>5079</v>
      </c>
      <c r="Q405" t="s">
        <v>5080</v>
      </c>
      <c r="R405" t="s">
        <v>206</v>
      </c>
      <c r="S405" t="s">
        <v>214</v>
      </c>
      <c r="T405" t="s">
        <v>5081</v>
      </c>
      <c r="U405" t="s">
        <v>62</v>
      </c>
      <c r="W405" s="1">
        <v>96499</v>
      </c>
      <c r="X405">
        <v>2</v>
      </c>
      <c r="Y405">
        <v>2</v>
      </c>
      <c r="Z405">
        <v>2009</v>
      </c>
      <c r="AA405" t="s">
        <v>70</v>
      </c>
      <c r="AB405" t="s">
        <v>5082</v>
      </c>
      <c r="AC405" t="s">
        <v>231</v>
      </c>
      <c r="AD405" t="s">
        <v>1300</v>
      </c>
      <c r="AE405">
        <v>7389</v>
      </c>
      <c r="AF405" t="s">
        <v>1301</v>
      </c>
      <c r="AI405">
        <v>73899999</v>
      </c>
      <c r="AJ405" t="s">
        <v>1935</v>
      </c>
      <c r="AM405">
        <v>561990</v>
      </c>
      <c r="AN405" t="s">
        <v>1936</v>
      </c>
      <c r="AQ405" t="s">
        <v>75</v>
      </c>
      <c r="AT405" t="s">
        <v>76</v>
      </c>
      <c r="BF405">
        <v>0</v>
      </c>
      <c r="BG405">
        <v>0</v>
      </c>
      <c r="CK405" s="19">
        <f>IF(BQ405&gt;0,BQ405,W405)</f>
        <v>96499</v>
      </c>
      <c r="CL405" s="20">
        <f>IF(BS405&gt;0,BS405,Y405)</f>
        <v>2</v>
      </c>
      <c r="CM405" s="34">
        <f>IF(CG405&gt;0,CG405,AM405)</f>
        <v>561990</v>
      </c>
      <c r="CN405" s="80">
        <f>IF($BH405="",1,COUNTIF($BH$3:$BH405,$BH405))</f>
        <v>1</v>
      </c>
      <c r="CO405" s="33" t="s">
        <v>4386</v>
      </c>
      <c r="CP405" t="str">
        <f>IF($K405="Standard Match","Match",IF($K405="Name Only Match",IF($CO405="Yes","Match","Name Only Match"),"No Match"))</f>
        <v>Match</v>
      </c>
      <c r="CQ405" s="35" t="str">
        <f>IF(AND(CP405="Match",CK405&gt;0,CL405&gt;0),"Y","N")</f>
        <v>Y</v>
      </c>
      <c r="CR405" t="s">
        <v>5078</v>
      </c>
      <c r="CS405" t="str">
        <f>IF($CQ405="Y",VLOOKUP($CM405,'SBA Size Standards'!$B$3:$G$57,MATCH('SBA Size Standards'!$G$3,'SBA Size Standards'!$B$3:$G$3,0),FALSE),"")</f>
        <v>Revenue</v>
      </c>
      <c r="CT405" s="60">
        <f>IF(CQ405="Y",IF($CS405="Employment","N/A",VLOOKUP($CM405,'SBA Size Standards'!$B$3:$G$57,MATCH('SBA Size Standards'!$E$3,'SBA Size Standards'!$B$3:$G$3,0),FALSE)),"")</f>
        <v>12000000</v>
      </c>
      <c r="CU405" s="86" t="str">
        <f>IF($CQ405="Y",IF($CS405="Revenue","N/A",VLOOKUP($CM405,'SBA Size Standards'!$B$3:$G$57,MATCH('SBA Size Standards'!$F$3,'SBA Size Standards'!$B$3:$G$3,0),FALSE)),"")</f>
        <v>N/A</v>
      </c>
      <c r="CV405" t="str">
        <f>IF($CQ405="Y",IF(OR(AND($CS405="Employment",$CL405&lt;$CU405),AND($CS405="Revenue",$CK405&lt;$CT405)),"YES","NO"),"")</f>
        <v>YES</v>
      </c>
      <c r="CW405" s="90" t="str">
        <f>IF($CQ405="Y",INDEX('SBA Size Standards'!$N$3:$N$12,MATCH($CK405,'SBA Size Standards'!$O$3:$O$12,1)),"")</f>
        <v>$50,001 - $100,000</v>
      </c>
      <c r="CX405" s="122" t="s">
        <v>4932</v>
      </c>
      <c r="CY405" s="122">
        <f>INDEX('NM O&amp;G Production'!$P$3:$P$537,MATCH(CX405,'NM O&amp;G Production'!$Q$3:$Q$537,0))</f>
        <v>24</v>
      </c>
      <c r="CZ405" s="122" t="str">
        <f>INDEX('NM O&amp;G Production'!$O$3:$O$537,MATCH(CY405,'NM O&amp;G Production'!$P$3:$P$537,0))</f>
        <v>Yes</v>
      </c>
      <c r="DA405" s="127">
        <f>INDEX('NM O&amp;G Production'!$K$3:$O$537,MATCH($CY405,'NM O&amp;G Production'!$P$3:$P$537,0),MATCH(DA$2,'NM O&amp;G Production'!$K$2:$O$2,0))</f>
        <v>0</v>
      </c>
      <c r="DB405" s="127">
        <f>INDEX('NM O&amp;G Production'!$K$3:$O$537,MATCH($CY405,'NM O&amp;G Production'!$P$3:$P$537,0),MATCH(DB$2,'NM O&amp;G Production'!$K$2:$O$2,0))</f>
        <v>2</v>
      </c>
      <c r="DC405" s="127">
        <f>DA405+DB405</f>
        <v>2</v>
      </c>
      <c r="DD405" s="127">
        <f>INDEX('NM O&amp;G Production'!$K$3:$O$537,MATCH($CY405,'NM O&amp;G Production'!$P$3:$P$537,0),MATCH(DD$2,'NM O&amp;G Production'!$K$2:$O$2,0))</f>
        <v>0</v>
      </c>
      <c r="DE405" s="127">
        <f>INDEX('NM O&amp;G Production'!$K$3:$O$537,MATCH($CY405,'NM O&amp;G Production'!$P$3:$P$537,0),MATCH(DE$2,'NM O&amp;G Production'!$K$2:$O$2,0))</f>
        <v>660</v>
      </c>
      <c r="DF405" s="258">
        <f>CK405/(DB405+DA405)</f>
        <v>48249.5</v>
      </c>
      <c r="DG405" s="57">
        <f>DD405*(12/18)*1.06*'Oil and Gas Prices'!$C$18</f>
        <v>0</v>
      </c>
      <c r="DH405" s="284">
        <f>DE405*(12/18)*'Oil and Gas Prices'!$C$4</f>
        <v>19800</v>
      </c>
      <c r="DI405" s="284">
        <f>DG405+DH405</f>
        <v>19800</v>
      </c>
      <c r="DJ405" s="57">
        <f>(DG405+DH405)/(DA405+DB405)</f>
        <v>9900</v>
      </c>
      <c r="DK405" s="318"/>
    </row>
    <row r="406" spans="1:115" x14ac:dyDescent="0.25">
      <c r="A406" s="21" t="s">
        <v>1890</v>
      </c>
      <c r="B406" s="21" t="s">
        <v>1891</v>
      </c>
      <c r="C406" s="21"/>
      <c r="D406" s="21" t="s">
        <v>1265</v>
      </c>
      <c r="E406" s="21" t="s">
        <v>84</v>
      </c>
      <c r="F406">
        <v>88260</v>
      </c>
      <c r="G406" t="s">
        <v>62</v>
      </c>
      <c r="I406">
        <v>261</v>
      </c>
      <c r="J406" t="s">
        <v>63</v>
      </c>
      <c r="K406" t="s">
        <v>4134</v>
      </c>
      <c r="L406" t="s">
        <v>3627</v>
      </c>
      <c r="M406">
        <v>8</v>
      </c>
      <c r="N406" t="s">
        <v>4112</v>
      </c>
      <c r="O406" s="21" t="s">
        <v>4113</v>
      </c>
      <c r="P406" s="21"/>
      <c r="Q406" s="21" t="s">
        <v>4114</v>
      </c>
      <c r="R406" s="21" t="s">
        <v>206</v>
      </c>
      <c r="S406" s="21" t="s">
        <v>214</v>
      </c>
      <c r="T406" t="s">
        <v>4115</v>
      </c>
      <c r="U406" t="s">
        <v>62</v>
      </c>
      <c r="W406" s="23">
        <v>96414</v>
      </c>
      <c r="X406" s="21">
        <v>2</v>
      </c>
      <c r="Y406" s="21">
        <v>2</v>
      </c>
      <c r="Z406">
        <v>2010</v>
      </c>
      <c r="AA406" s="21" t="s">
        <v>70</v>
      </c>
      <c r="AB406" t="s">
        <v>4116</v>
      </c>
      <c r="AC406" t="s">
        <v>231</v>
      </c>
      <c r="AD406" s="21" t="s">
        <v>370</v>
      </c>
      <c r="AE406">
        <v>5983</v>
      </c>
      <c r="AF406" t="s">
        <v>371</v>
      </c>
      <c r="AI406">
        <v>59830000</v>
      </c>
      <c r="AJ406" t="s">
        <v>370</v>
      </c>
      <c r="AM406" s="21">
        <v>454310</v>
      </c>
      <c r="AN406" s="21" t="s">
        <v>193</v>
      </c>
      <c r="AO406" s="21"/>
      <c r="AP406" s="21"/>
      <c r="AQ406" s="21" t="s">
        <v>75</v>
      </c>
      <c r="AT406" t="s">
        <v>76</v>
      </c>
      <c r="BF406">
        <v>0</v>
      </c>
      <c r="BG406" s="24">
        <v>0</v>
      </c>
      <c r="BH406" s="24"/>
      <c r="BI406" s="24"/>
      <c r="BJ406" s="24"/>
      <c r="BK406" s="24"/>
      <c r="BL406" s="24"/>
      <c r="BM406" s="24"/>
      <c r="BN406" s="24"/>
      <c r="BO406" s="24"/>
      <c r="BQ406" s="24"/>
      <c r="BR406" s="24"/>
      <c r="BS406" s="24"/>
      <c r="BU406" s="24"/>
      <c r="BX406" s="24"/>
      <c r="CG406" s="24"/>
      <c r="CH406" s="24"/>
      <c r="CI406" s="24"/>
      <c r="CJ406" s="24"/>
      <c r="CK406" s="19">
        <f>IF(BQ406&gt;0,BQ406,W406)</f>
        <v>96414</v>
      </c>
      <c r="CL406" s="20">
        <f>IF(BS406&gt;0,BS406,Y406)</f>
        <v>2</v>
      </c>
      <c r="CM406" s="34">
        <f>IF(CG406&gt;0,CG406,AM406)</f>
        <v>454310</v>
      </c>
      <c r="CN406" s="80">
        <f>IF($BH406="",1,COUNTIF($BH$3:$BH406,$BH406))</f>
        <v>1</v>
      </c>
      <c r="CO406" s="33" t="s">
        <v>4386</v>
      </c>
      <c r="CP406" t="str">
        <f>IF($K406="Standard Match","Match",IF($K406="Name Only Match",IF($CO406="Yes","Match","Name Only Match"),"No Match"))</f>
        <v>Match</v>
      </c>
      <c r="CQ406" s="35" t="str">
        <f>IF(AND(CP406="Match",CK406&gt;0,CL406&gt;0),"Y","N")</f>
        <v>Y</v>
      </c>
      <c r="CR406" s="21"/>
      <c r="CS406" t="str">
        <f>IF($CQ406="Y",VLOOKUP($CM406,'SBA Size Standards'!$B$3:$G$57,MATCH('SBA Size Standards'!$G$3,'SBA Size Standards'!$B$3:$G$3,0),FALSE),"")</f>
        <v>Employment</v>
      </c>
      <c r="CT406" s="60" t="str">
        <f>IF(CQ406="Y",IF($CS406="Employment","N/A",VLOOKUP($CM406,'SBA Size Standards'!$B$3:$G$57,MATCH('SBA Size Standards'!$E$3,'SBA Size Standards'!$B$3:$G$3,0),FALSE)),"")</f>
        <v>N/A</v>
      </c>
      <c r="CU406" s="86">
        <f>IF($CQ406="Y",IF($CS406="Revenue","N/A",VLOOKUP($CM406,'SBA Size Standards'!$B$3:$G$57,MATCH('SBA Size Standards'!$F$3,'SBA Size Standards'!$B$3:$G$3,0),FALSE)),"")</f>
        <v>100</v>
      </c>
      <c r="CV406" t="str">
        <f>IF($CQ406="Y",IF(OR(AND($CS406="Employment",$CL406&lt;$CU406),AND($CS406="Revenue",$CK406&lt;$CT406)),"YES","NO"),"")</f>
        <v>YES</v>
      </c>
      <c r="CW406" s="90" t="str">
        <f>IF($CQ406="Y",INDEX('SBA Size Standards'!$N$3:$N$12,MATCH($CK406,'SBA Size Standards'!$O$3:$O$12,1)),"")</f>
        <v>$50,001 - $100,000</v>
      </c>
      <c r="CX406" s="122" t="s">
        <v>4970</v>
      </c>
      <c r="CY406" s="122">
        <f>INDEX('NM O&amp;G Production'!$P$3:$P$537,MATCH(CX406,'NM O&amp;G Production'!$Q$3:$Q$537,0))</f>
        <v>261</v>
      </c>
      <c r="CZ406" s="122" t="str">
        <f>INDEX('NM O&amp;G Production'!$O$3:$O$537,MATCH(CY406,'NM O&amp;G Production'!$P$3:$P$537,0))</f>
        <v>Yes</v>
      </c>
      <c r="DA406" s="127">
        <f>INDEX('NM O&amp;G Production'!$K$3:$O$537,MATCH($CY406,'NM O&amp;G Production'!$P$3:$P$537,0),MATCH(DA$2,'NM O&amp;G Production'!$K$2:$O$2,0))</f>
        <v>0</v>
      </c>
      <c r="DB406" s="127">
        <f>INDEX('NM O&amp;G Production'!$K$3:$O$537,MATCH($CY406,'NM O&amp;G Production'!$P$3:$P$537,0),MATCH(DB$2,'NM O&amp;G Production'!$K$2:$O$2,0))</f>
        <v>2</v>
      </c>
      <c r="DC406" s="127">
        <f>DA406+DB406</f>
        <v>2</v>
      </c>
      <c r="DD406" s="127">
        <f>INDEX('NM O&amp;G Production'!$K$3:$O$537,MATCH($CY406,'NM O&amp;G Production'!$P$3:$P$537,0),MATCH(DD$2,'NM O&amp;G Production'!$K$2:$O$2,0))</f>
        <v>0</v>
      </c>
      <c r="DE406" s="127">
        <f>INDEX('NM O&amp;G Production'!$K$3:$O$537,MATCH($CY406,'NM O&amp;G Production'!$P$3:$P$537,0),MATCH(DE$2,'NM O&amp;G Production'!$K$2:$O$2,0))</f>
        <v>354</v>
      </c>
      <c r="DF406" s="258">
        <f>CK406/(DB406+DA406)</f>
        <v>48207</v>
      </c>
      <c r="DG406" s="57">
        <f>DD406*(12/18)*1.06*'Oil and Gas Prices'!$C$18</f>
        <v>0</v>
      </c>
      <c r="DH406" s="284">
        <f>DE406*(12/18)*'Oil and Gas Prices'!$C$4</f>
        <v>10620</v>
      </c>
      <c r="DI406" s="284">
        <f>DG406+DH406</f>
        <v>10620</v>
      </c>
      <c r="DJ406" s="57">
        <f>(DG406+DH406)/(DA406+DB406)</f>
        <v>5310</v>
      </c>
      <c r="DK406" s="318"/>
    </row>
    <row r="407" spans="1:115" s="21" customFormat="1" x14ac:dyDescent="0.25">
      <c r="A407" s="21" t="s">
        <v>2244</v>
      </c>
      <c r="B407" s="21" t="s">
        <v>2245</v>
      </c>
      <c r="D407" s="21" t="s">
        <v>378</v>
      </c>
      <c r="E407" s="21" t="s">
        <v>80</v>
      </c>
      <c r="F407" s="21">
        <v>75201</v>
      </c>
      <c r="G407" s="21" t="s">
        <v>62</v>
      </c>
      <c r="I407" s="21">
        <v>318</v>
      </c>
      <c r="J407" s="21" t="s">
        <v>89</v>
      </c>
      <c r="K407" s="21" t="s">
        <v>4133</v>
      </c>
      <c r="L407" s="21" t="s">
        <v>113</v>
      </c>
      <c r="M407" s="21">
        <v>8</v>
      </c>
      <c r="N407" s="21" t="s">
        <v>2246</v>
      </c>
      <c r="O407" s="21" t="s">
        <v>2247</v>
      </c>
      <c r="Q407" s="21" t="s">
        <v>2248</v>
      </c>
      <c r="R407" s="21" t="s">
        <v>378</v>
      </c>
      <c r="S407" s="21" t="s">
        <v>94</v>
      </c>
      <c r="T407" s="21" t="s">
        <v>2249</v>
      </c>
      <c r="U407" s="21" t="s">
        <v>62</v>
      </c>
      <c r="W407" s="23">
        <v>95000</v>
      </c>
      <c r="X407" s="21">
        <v>2</v>
      </c>
      <c r="Y407" s="21">
        <v>2</v>
      </c>
      <c r="Z407" s="21">
        <v>2009</v>
      </c>
      <c r="AA407" s="21" t="s">
        <v>70</v>
      </c>
      <c r="AB407" s="21" t="s">
        <v>2250</v>
      </c>
      <c r="AC407" s="21" t="s">
        <v>231</v>
      </c>
      <c r="AD407" s="21" t="s">
        <v>2251</v>
      </c>
      <c r="AE407" s="16">
        <v>5159</v>
      </c>
      <c r="AF407" s="16" t="s">
        <v>2252</v>
      </c>
      <c r="AI407" s="21">
        <v>51599906</v>
      </c>
      <c r="AJ407" s="21" t="s">
        <v>2253</v>
      </c>
      <c r="AM407" s="21">
        <v>424590</v>
      </c>
      <c r="AN407" s="21" t="s">
        <v>2254</v>
      </c>
      <c r="AQ407" s="21" t="s">
        <v>75</v>
      </c>
      <c r="AT407" s="21" t="s">
        <v>76</v>
      </c>
      <c r="BF407" s="21">
        <v>0</v>
      </c>
      <c r="BG407" s="21">
        <v>0</v>
      </c>
      <c r="BH407" s="4"/>
      <c r="BI407" s="4"/>
      <c r="BJ407" s="4"/>
      <c r="BK407" s="4"/>
      <c r="BL407" s="4"/>
      <c r="BM407" s="4"/>
      <c r="BN407" s="4"/>
      <c r="BO407" s="4"/>
      <c r="BQ407" s="4"/>
      <c r="BR407" s="4"/>
      <c r="BS407" s="4"/>
      <c r="BT407" s="16"/>
      <c r="BU407" s="16"/>
      <c r="BV407" s="16"/>
      <c r="BW407" s="16"/>
      <c r="BX407" s="16"/>
      <c r="BY407" s="16"/>
      <c r="BZ407" s="16"/>
      <c r="CA407" s="16"/>
      <c r="CB407" s="16"/>
      <c r="CC407" s="16"/>
      <c r="CD407" s="16"/>
      <c r="CE407" s="16"/>
      <c r="CF407" s="16"/>
      <c r="CG407" s="4"/>
      <c r="CH407" s="4"/>
      <c r="CI407" s="4"/>
      <c r="CJ407" s="4"/>
      <c r="CK407" s="19">
        <f>IF(BQ407&gt;0,BQ407,W407)</f>
        <v>95000</v>
      </c>
      <c r="CL407" s="20">
        <f>IF(BS407&gt;0,BS407,Y407)</f>
        <v>2</v>
      </c>
      <c r="CM407" s="34">
        <f>IF(CG407&gt;0,CG407,AM407)</f>
        <v>424590</v>
      </c>
      <c r="CN407" s="80">
        <f>IF($BH407="",1,COUNTIF($BH$3:$BH407,$BH407))</f>
        <v>1</v>
      </c>
      <c r="CP407" t="str">
        <f>IF($K407="Standard Match","Match",IF($K407="Name Only Match",IF($CO407="Yes","Match","Name Only Match"),"No Match"))</f>
        <v>Match</v>
      </c>
      <c r="CQ407" s="35" t="str">
        <f>IF(AND(CP407="Match",CK407&gt;0,CL407&gt;0),"Y","N")</f>
        <v>Y</v>
      </c>
      <c r="CS407" t="str">
        <f>IF($CQ407="Y",VLOOKUP($CM407,'SBA Size Standards'!$B$3:$G$57,MATCH('SBA Size Standards'!$G$3,'SBA Size Standards'!$B$3:$G$3,0),FALSE),"")</f>
        <v>Employment</v>
      </c>
      <c r="CT407" s="60" t="str">
        <f>IF(CQ407="Y",IF($CS407="Employment","N/A",VLOOKUP($CM407,'SBA Size Standards'!$B$3:$G$57,MATCH('SBA Size Standards'!$E$3,'SBA Size Standards'!$B$3:$G$3,0),FALSE)),"")</f>
        <v>N/A</v>
      </c>
      <c r="CU407" s="86">
        <f>IF($CQ407="Y",IF($CS407="Revenue","N/A",VLOOKUP($CM407,'SBA Size Standards'!$B$3:$G$57,MATCH('SBA Size Standards'!$F$3,'SBA Size Standards'!$B$3:$G$3,0),FALSE)),"")</f>
        <v>100</v>
      </c>
      <c r="CV407" t="str">
        <f>IF($CQ407="Y",IF(OR(AND($CS407="Employment",$CL407&lt;$CU407),AND($CS407="Revenue",$CK407&lt;$CT407)),"YES","NO"),"")</f>
        <v>YES</v>
      </c>
      <c r="CW407" s="90" t="str">
        <f>IF($CQ407="Y",INDEX('SBA Size Standards'!$N$3:$N$12,MATCH($CK407,'SBA Size Standards'!$O$3:$O$12,1)),"")</f>
        <v>$50,001 - $100,000</v>
      </c>
      <c r="CX407" s="122" t="s">
        <v>4872</v>
      </c>
      <c r="CY407" s="122">
        <f>INDEX('NM O&amp;G Production'!$P$3:$P$537,MATCH(CX407,'NM O&amp;G Production'!$Q$3:$Q$537,0))</f>
        <v>318</v>
      </c>
      <c r="CZ407" s="122" t="str">
        <f>INDEX('NM O&amp;G Production'!$O$3:$O$537,MATCH(CY407,'NM O&amp;G Production'!$P$3:$P$537,0))</f>
        <v>Yes</v>
      </c>
      <c r="DA407" s="127">
        <f>INDEX('NM O&amp;G Production'!$K$3:$O$537,MATCH($CY407,'NM O&amp;G Production'!$P$3:$P$537,0),MATCH(DA$2,'NM O&amp;G Production'!$K$2:$O$2,0))</f>
        <v>0</v>
      </c>
      <c r="DB407" s="127">
        <f>INDEX('NM O&amp;G Production'!$K$3:$O$537,MATCH($CY407,'NM O&amp;G Production'!$P$3:$P$537,0),MATCH(DB$2,'NM O&amp;G Production'!$K$2:$O$2,0))</f>
        <v>2</v>
      </c>
      <c r="DC407" s="127">
        <f>DA407+DB407</f>
        <v>2</v>
      </c>
      <c r="DD407" s="127">
        <f>INDEX('NM O&amp;G Production'!$K$3:$O$537,MATCH($CY407,'NM O&amp;G Production'!$P$3:$P$537,0),MATCH(DD$2,'NM O&amp;G Production'!$K$2:$O$2,0))</f>
        <v>0</v>
      </c>
      <c r="DE407" s="127">
        <f>INDEX('NM O&amp;G Production'!$K$3:$O$537,MATCH($CY407,'NM O&amp;G Production'!$P$3:$P$537,0),MATCH(DE$2,'NM O&amp;G Production'!$K$2:$O$2,0))</f>
        <v>3700</v>
      </c>
      <c r="DF407" s="258">
        <f>CK407/(DB407+DA407)</f>
        <v>47500</v>
      </c>
      <c r="DG407" s="57">
        <f>DD407*(12/18)*1.06*'Oil and Gas Prices'!$C$18</f>
        <v>0</v>
      </c>
      <c r="DH407" s="284">
        <f>DE407*(12/18)*'Oil and Gas Prices'!$C$4</f>
        <v>111000</v>
      </c>
      <c r="DI407" s="284">
        <f>DG407+DH407</f>
        <v>111000</v>
      </c>
      <c r="DJ407" s="57">
        <f>(DG407+DH407)/(DA407+DB407)</f>
        <v>55500</v>
      </c>
      <c r="DK407" s="318"/>
    </row>
    <row r="408" spans="1:115" x14ac:dyDescent="0.25">
      <c r="A408" t="s">
        <v>3042</v>
      </c>
      <c r="B408" t="s">
        <v>3043</v>
      </c>
      <c r="D408" t="s">
        <v>523</v>
      </c>
      <c r="E408" t="s">
        <v>80</v>
      </c>
      <c r="F408">
        <v>70765</v>
      </c>
      <c r="G408" t="s">
        <v>62</v>
      </c>
      <c r="I408">
        <v>444</v>
      </c>
      <c r="J408" t="s">
        <v>63</v>
      </c>
      <c r="K408" t="s">
        <v>4134</v>
      </c>
      <c r="L408" t="s">
        <v>3627</v>
      </c>
      <c r="M408">
        <v>8</v>
      </c>
      <c r="N408" t="s">
        <v>3983</v>
      </c>
      <c r="O408" t="s">
        <v>3984</v>
      </c>
      <c r="Q408" t="s">
        <v>3985</v>
      </c>
      <c r="R408" t="s">
        <v>153</v>
      </c>
      <c r="S408" t="s">
        <v>94</v>
      </c>
      <c r="T408" t="s">
        <v>3986</v>
      </c>
      <c r="U408" t="s">
        <v>62</v>
      </c>
      <c r="W408" s="1">
        <v>88518</v>
      </c>
      <c r="X408">
        <v>2</v>
      </c>
      <c r="Y408">
        <v>2</v>
      </c>
      <c r="Z408">
        <v>1986</v>
      </c>
      <c r="AA408" t="s">
        <v>70</v>
      </c>
      <c r="AB408" t="s">
        <v>3987</v>
      </c>
      <c r="AC408" t="s">
        <v>483</v>
      </c>
      <c r="AD408" t="s">
        <v>1501</v>
      </c>
      <c r="AE408">
        <v>5084</v>
      </c>
      <c r="AF408" t="s">
        <v>1248</v>
      </c>
      <c r="AI408">
        <v>50840000</v>
      </c>
      <c r="AJ408" t="s">
        <v>1501</v>
      </c>
      <c r="AM408">
        <v>423830</v>
      </c>
      <c r="AN408" t="s">
        <v>1252</v>
      </c>
      <c r="AQ408" t="s">
        <v>75</v>
      </c>
      <c r="AT408" t="s">
        <v>76</v>
      </c>
      <c r="BF408">
        <v>0</v>
      </c>
      <c r="BG408">
        <v>0</v>
      </c>
      <c r="CK408" s="19">
        <f>IF(BQ408&gt;0,BQ408,W408)</f>
        <v>88518</v>
      </c>
      <c r="CL408" s="20">
        <f>IF(BS408&gt;0,BS408,Y408)</f>
        <v>2</v>
      </c>
      <c r="CM408" s="34">
        <f>IF(CG408&gt;0,CG408,AM408)</f>
        <v>423830</v>
      </c>
      <c r="CN408" s="80">
        <f>IF($BH408="",1,COUNTIF($BH$3:$BH408,$BH408))</f>
        <v>1</v>
      </c>
      <c r="CO408" s="33" t="s">
        <v>4386</v>
      </c>
      <c r="CP408" t="str">
        <f>IF($K408="Standard Match","Match",IF($K408="Name Only Match",IF($CO408="Yes","Match","Name Only Match"),"No Match"))</f>
        <v>Match</v>
      </c>
      <c r="CQ408" s="35" t="str">
        <f>IF(AND(CP408="Match",CK408&gt;0,CL408&gt;0),"Y","N")</f>
        <v>Y</v>
      </c>
      <c r="CS408" t="str">
        <f>IF($CQ408="Y",VLOOKUP($CM408,'SBA Size Standards'!$B$3:$G$57,MATCH('SBA Size Standards'!$G$3,'SBA Size Standards'!$B$3:$G$3,0),FALSE),"")</f>
        <v>Employment</v>
      </c>
      <c r="CT408" s="60" t="str">
        <f>IF(CQ408="Y",IF($CS408="Employment","N/A",VLOOKUP($CM408,'SBA Size Standards'!$B$3:$G$57,MATCH('SBA Size Standards'!$E$3,'SBA Size Standards'!$B$3:$G$3,0),FALSE)),"")</f>
        <v>N/A</v>
      </c>
      <c r="CU408" s="86">
        <f>IF($CQ408="Y",IF($CS408="Revenue","N/A",VLOOKUP($CM408,'SBA Size Standards'!$B$3:$G$57,MATCH('SBA Size Standards'!$F$3,'SBA Size Standards'!$B$3:$G$3,0),FALSE)),"")</f>
        <v>100</v>
      </c>
      <c r="CV408" t="str">
        <f>IF($CQ408="Y",IF(OR(AND($CS408="Employment",$CL408&lt;$CU408),AND($CS408="Revenue",$CK408&lt;$CT408)),"YES","NO"),"")</f>
        <v>YES</v>
      </c>
      <c r="CW408" s="90" t="str">
        <f>IF($CQ408="Y",INDEX('SBA Size Standards'!$N$3:$N$12,MATCH($CK408,'SBA Size Standards'!$O$3:$O$12,1)),"")</f>
        <v>$50,001 - $100,000</v>
      </c>
      <c r="CX408" s="122" t="s">
        <v>4995</v>
      </c>
      <c r="CY408" s="122">
        <f>INDEX('NM O&amp;G Production'!$P$3:$P$537,MATCH(CX408,'NM O&amp;G Production'!$Q$3:$Q$537,0))</f>
        <v>444</v>
      </c>
      <c r="CZ408" s="122" t="str">
        <f>INDEX('NM O&amp;G Production'!$O$3:$O$537,MATCH(CY408,'NM O&amp;G Production'!$P$3:$P$537,0))</f>
        <v>No</v>
      </c>
      <c r="DA408" s="127">
        <f>INDEX('NM O&amp;G Production'!$K$3:$O$537,MATCH($CY408,'NM O&amp;G Production'!$P$3:$P$537,0),MATCH(DA$2,'NM O&amp;G Production'!$K$2:$O$2,0))</f>
        <v>0</v>
      </c>
      <c r="DB408" s="127">
        <f>INDEX('NM O&amp;G Production'!$K$3:$O$537,MATCH($CY408,'NM O&amp;G Production'!$P$3:$P$537,0),MATCH(DB$2,'NM O&amp;G Production'!$K$2:$O$2,0))</f>
        <v>0</v>
      </c>
      <c r="DC408" s="127"/>
      <c r="DD408" s="127">
        <f>INDEX('NM O&amp;G Production'!$K$3:$O$537,MATCH($CY408,'NM O&amp;G Production'!$P$3:$P$537,0),MATCH(DD$2,'NM O&amp;G Production'!$K$2:$O$2,0))</f>
        <v>0</v>
      </c>
      <c r="DE408" s="127">
        <f>INDEX('NM O&amp;G Production'!$K$3:$O$537,MATCH($CY408,'NM O&amp;G Production'!$P$3:$P$537,0),MATCH(DE$2,'NM O&amp;G Production'!$K$2:$O$2,0))</f>
        <v>0</v>
      </c>
      <c r="DF408" s="258" t="e">
        <f>CK408/(DB408+DA408)</f>
        <v>#DIV/0!</v>
      </c>
      <c r="DG408" s="57">
        <f>DD408*(12/18)*1.06*'Oil and Gas Prices'!$C$18</f>
        <v>0</v>
      </c>
      <c r="DH408" s="284">
        <f>DE408*(12/18)*'Oil and Gas Prices'!$C$4</f>
        <v>0</v>
      </c>
      <c r="DI408" s="284"/>
      <c r="DJ408" s="57" t="e">
        <f>(DG408+DH408)/(DA408+DB408)</f>
        <v>#DIV/0!</v>
      </c>
      <c r="DK408" s="18" t="e">
        <f>CK408/DI408</f>
        <v>#DIV/0!</v>
      </c>
    </row>
    <row r="409" spans="1:115" x14ac:dyDescent="0.25">
      <c r="A409" t="s">
        <v>867</v>
      </c>
      <c r="B409" t="s">
        <v>868</v>
      </c>
      <c r="D409" t="s">
        <v>869</v>
      </c>
      <c r="E409" t="s">
        <v>80</v>
      </c>
      <c r="F409">
        <v>79536</v>
      </c>
      <c r="G409" t="s">
        <v>62</v>
      </c>
      <c r="I409">
        <v>110</v>
      </c>
      <c r="J409" t="s">
        <v>63</v>
      </c>
      <c r="K409" t="s">
        <v>4134</v>
      </c>
      <c r="L409" t="s">
        <v>3627</v>
      </c>
      <c r="M409">
        <v>8</v>
      </c>
      <c r="N409" t="s">
        <v>4051</v>
      </c>
      <c r="O409" s="21" t="s">
        <v>4052</v>
      </c>
      <c r="Q409" t="s">
        <v>4053</v>
      </c>
      <c r="R409" t="s">
        <v>4054</v>
      </c>
      <c r="S409" t="s">
        <v>94</v>
      </c>
      <c r="T409" t="s">
        <v>4055</v>
      </c>
      <c r="U409" t="s">
        <v>62</v>
      </c>
      <c r="W409" s="1">
        <v>87508</v>
      </c>
      <c r="X409">
        <v>2</v>
      </c>
      <c r="Y409">
        <v>2</v>
      </c>
      <c r="Z409">
        <v>2019</v>
      </c>
      <c r="AA409" t="s">
        <v>70</v>
      </c>
      <c r="AD409" t="s">
        <v>232</v>
      </c>
      <c r="AE409">
        <v>6512</v>
      </c>
      <c r="AF409" t="s">
        <v>233</v>
      </c>
      <c r="AI409">
        <v>65120000</v>
      </c>
      <c r="AJ409" t="s">
        <v>232</v>
      </c>
      <c r="AM409">
        <v>531312</v>
      </c>
      <c r="AN409" t="s">
        <v>234</v>
      </c>
      <c r="AQ409" t="s">
        <v>75</v>
      </c>
      <c r="AT409" t="s">
        <v>76</v>
      </c>
      <c r="BF409">
        <v>0</v>
      </c>
      <c r="BG409">
        <v>0</v>
      </c>
      <c r="CK409" s="19">
        <f>IF(BQ409&gt;0,BQ409,W409)</f>
        <v>87508</v>
      </c>
      <c r="CL409" s="20">
        <f>IF(BS409&gt;0,BS409,Y409)</f>
        <v>2</v>
      </c>
      <c r="CM409" s="34">
        <f>IF(CG409&gt;0,CG409,AM409)</f>
        <v>531312</v>
      </c>
      <c r="CN409" s="80">
        <f>IF($BH409="",1,COUNTIF($BH$3:$BH409,$BH409))</f>
        <v>1</v>
      </c>
      <c r="CO409" s="33" t="s">
        <v>4386</v>
      </c>
      <c r="CP409" t="str">
        <f>IF($K409="Standard Match","Match",IF($K409="Name Only Match",IF($CO409="Yes","Match","Name Only Match"),"No Match"))</f>
        <v>Match</v>
      </c>
      <c r="CQ409" s="35" t="str">
        <f>IF(AND(CP409="Match",CK409&gt;0,CL409&gt;0),"Y","N")</f>
        <v>Y</v>
      </c>
      <c r="CS409" t="str">
        <f>IF($CQ409="Y",VLOOKUP($CM409,'SBA Size Standards'!$B$3:$G$57,MATCH('SBA Size Standards'!$G$3,'SBA Size Standards'!$B$3:$G$3,0),FALSE),"")</f>
        <v>Revenue</v>
      </c>
      <c r="CT409" s="60">
        <f>IF(CQ409="Y",IF($CS409="Employment","N/A",VLOOKUP($CM409,'SBA Size Standards'!$B$3:$G$57,MATCH('SBA Size Standards'!$E$3,'SBA Size Standards'!$B$3:$G$3,0),FALSE)),"")</f>
        <v>8000000</v>
      </c>
      <c r="CU409" s="86" t="str">
        <f>IF($CQ409="Y",IF($CS409="Revenue","N/A",VLOOKUP($CM409,'SBA Size Standards'!$B$3:$G$57,MATCH('SBA Size Standards'!$F$3,'SBA Size Standards'!$B$3:$G$3,0),FALSE)),"")</f>
        <v>N/A</v>
      </c>
      <c r="CV409" t="str">
        <f>IF($CQ409="Y",IF(OR(AND($CS409="Employment",$CL409&lt;$CU409),AND($CS409="Revenue",$CK409&lt;$CT409)),"YES","NO"),"")</f>
        <v>YES</v>
      </c>
      <c r="CW409" s="90" t="str">
        <f>IF($CQ409="Y",INDEX('SBA Size Standards'!$N$3:$N$12,MATCH($CK409,'SBA Size Standards'!$O$3:$O$12,1)),"")</f>
        <v>$50,001 - $100,000</v>
      </c>
      <c r="CX409" s="122" t="s">
        <v>4948</v>
      </c>
      <c r="CY409" s="122">
        <f>INDEX('NM O&amp;G Production'!$P$3:$P$537,MATCH(CX409,'NM O&amp;G Production'!$Q$3:$Q$537,0))</f>
        <v>110</v>
      </c>
      <c r="CZ409" s="122" t="str">
        <f>INDEX('NM O&amp;G Production'!$O$3:$O$537,MATCH(CY409,'NM O&amp;G Production'!$P$3:$P$537,0))</f>
        <v>Yes</v>
      </c>
      <c r="DA409" s="127">
        <f>INDEX('NM O&amp;G Production'!$K$3:$O$537,MATCH($CY409,'NM O&amp;G Production'!$P$3:$P$537,0),MATCH(DA$2,'NM O&amp;G Production'!$K$2:$O$2,0))</f>
        <v>3</v>
      </c>
      <c r="DB409" s="127">
        <f>INDEX('NM O&amp;G Production'!$K$3:$O$537,MATCH($CY409,'NM O&amp;G Production'!$P$3:$P$537,0),MATCH(DB$2,'NM O&amp;G Production'!$K$2:$O$2,0))</f>
        <v>0</v>
      </c>
      <c r="DC409" s="127">
        <f>DA409+DB409</f>
        <v>3</v>
      </c>
      <c r="DD409" s="127">
        <f>INDEX('NM O&amp;G Production'!$K$3:$O$537,MATCH($CY409,'NM O&amp;G Production'!$P$3:$P$537,0),MATCH(DD$2,'NM O&amp;G Production'!$K$2:$O$2,0))</f>
        <v>15706</v>
      </c>
      <c r="DE409" s="127">
        <f>INDEX('NM O&amp;G Production'!$K$3:$O$537,MATCH($CY409,'NM O&amp;G Production'!$P$3:$P$537,0),MATCH(DE$2,'NM O&amp;G Production'!$K$2:$O$2,0))</f>
        <v>13897</v>
      </c>
      <c r="DF409" s="258">
        <f>CK409/(DB409+DA409)</f>
        <v>29169.333333333332</v>
      </c>
      <c r="DG409" s="57">
        <f>DD409*(12/18)*1.06*'Oil and Gas Prices'!$C$18</f>
        <v>26526.386933333331</v>
      </c>
      <c r="DH409" s="284">
        <f>DE409*(12/18)*'Oil and Gas Prices'!$C$4</f>
        <v>416910</v>
      </c>
      <c r="DI409" s="284">
        <f>DG409+DH409</f>
        <v>443436.38693333336</v>
      </c>
      <c r="DJ409" s="57">
        <f>(DG409+DH409)/(DA409+DB409)</f>
        <v>147812.12897777779</v>
      </c>
      <c r="DK409" s="318"/>
    </row>
    <row r="410" spans="1:115" s="21" customFormat="1" x14ac:dyDescent="0.25">
      <c r="A410" t="s">
        <v>1807</v>
      </c>
      <c r="B410" t="s">
        <v>1808</v>
      </c>
      <c r="C410"/>
      <c r="D410" t="s">
        <v>1809</v>
      </c>
      <c r="E410" t="s">
        <v>80</v>
      </c>
      <c r="F410">
        <v>79745</v>
      </c>
      <c r="G410" t="s">
        <v>62</v>
      </c>
      <c r="H410"/>
      <c r="I410">
        <v>249</v>
      </c>
      <c r="J410" t="s">
        <v>89</v>
      </c>
      <c r="K410" t="s">
        <v>4133</v>
      </c>
      <c r="L410" t="s">
        <v>1810</v>
      </c>
      <c r="M410">
        <v>9</v>
      </c>
      <c r="N410" t="s">
        <v>1811</v>
      </c>
      <c r="O410" t="s">
        <v>1812</v>
      </c>
      <c r="P410"/>
      <c r="Q410" t="s">
        <v>1813</v>
      </c>
      <c r="R410" t="s">
        <v>1809</v>
      </c>
      <c r="S410" t="s">
        <v>94</v>
      </c>
      <c r="T410" t="s">
        <v>1814</v>
      </c>
      <c r="U410" t="s">
        <v>62</v>
      </c>
      <c r="V410">
        <v>4325866121</v>
      </c>
      <c r="W410" s="1">
        <v>84000</v>
      </c>
      <c r="X410">
        <v>1</v>
      </c>
      <c r="Y410">
        <v>1</v>
      </c>
      <c r="Z410">
        <v>1984</v>
      </c>
      <c r="AA410" t="s">
        <v>70</v>
      </c>
      <c r="AB410" t="s">
        <v>1815</v>
      </c>
      <c r="AC410" t="s">
        <v>483</v>
      </c>
      <c r="AD410" t="s">
        <v>1816</v>
      </c>
      <c r="AE410">
        <v>6792</v>
      </c>
      <c r="AF410" t="s">
        <v>1447</v>
      </c>
      <c r="AG410">
        <v>1381</v>
      </c>
      <c r="AH410" t="s">
        <v>518</v>
      </c>
      <c r="AI410">
        <v>67929901</v>
      </c>
      <c r="AJ410" t="s">
        <v>1448</v>
      </c>
      <c r="AK410">
        <v>13819901</v>
      </c>
      <c r="AL410" t="s">
        <v>1736</v>
      </c>
      <c r="AM410">
        <v>533110</v>
      </c>
      <c r="AN410" t="s">
        <v>1449</v>
      </c>
      <c r="AO410">
        <v>213111</v>
      </c>
      <c r="AP410" t="s">
        <v>518</v>
      </c>
      <c r="AQ410" t="s">
        <v>75</v>
      </c>
      <c r="AR410"/>
      <c r="AS410"/>
      <c r="AT410" t="s">
        <v>76</v>
      </c>
      <c r="AU410"/>
      <c r="AV410"/>
      <c r="AW410"/>
      <c r="AX410"/>
      <c r="AY410"/>
      <c r="AZ410"/>
      <c r="BA410"/>
      <c r="BB410"/>
      <c r="BC410"/>
      <c r="BD410"/>
      <c r="BE410"/>
      <c r="BF410">
        <v>0</v>
      </c>
      <c r="BG410">
        <v>0</v>
      </c>
      <c r="BH410" s="4"/>
      <c r="BI410" s="4"/>
      <c r="BJ410" s="4"/>
      <c r="BK410" s="4"/>
      <c r="BL410" s="4"/>
      <c r="BM410" s="4"/>
      <c r="BN410" s="4"/>
      <c r="BO410" s="4"/>
      <c r="BP410" s="4"/>
      <c r="BQ410" s="4"/>
      <c r="BR410" s="4"/>
      <c r="BS410" s="4"/>
      <c r="BT410" s="4"/>
      <c r="BU410" s="4"/>
      <c r="BV410" s="4"/>
      <c r="BW410" s="4"/>
      <c r="BX410" s="4"/>
      <c r="BY410" s="4"/>
      <c r="BZ410" s="4"/>
      <c r="CA410" s="4"/>
      <c r="CB410" s="4"/>
      <c r="CC410" s="4"/>
      <c r="CD410" s="4"/>
      <c r="CE410" s="4"/>
      <c r="CF410" s="4"/>
      <c r="CG410" s="4"/>
      <c r="CH410" s="4"/>
      <c r="CI410" s="4"/>
      <c r="CJ410" s="4"/>
      <c r="CK410" s="19">
        <f>IF(BQ410&gt;0,BQ410,W410)</f>
        <v>84000</v>
      </c>
      <c r="CL410" s="20">
        <f>IF(BS410&gt;0,BS410,Y410)</f>
        <v>1</v>
      </c>
      <c r="CM410" s="34">
        <f>IF(CG410&gt;0,CG410,AM410)</f>
        <v>533110</v>
      </c>
      <c r="CN410" s="80">
        <f>IF($BH410="",1,COUNTIF($BH$3:$BH410,$BH410))</f>
        <v>1</v>
      </c>
      <c r="CO410"/>
      <c r="CP410" t="str">
        <f>IF($K410="Standard Match","Match",IF($K410="Name Only Match",IF($CO410="Yes","Match","Name Only Match"),"No Match"))</f>
        <v>Match</v>
      </c>
      <c r="CQ410" s="35" t="str">
        <f>IF(AND(CP410="Match",CK410&gt;0,CL410&gt;0),"Y","N")</f>
        <v>Y</v>
      </c>
      <c r="CR410"/>
      <c r="CS410" t="str">
        <f>IF($CQ410="Y",VLOOKUP($CM410,'SBA Size Standards'!$B$3:$G$57,MATCH('SBA Size Standards'!$G$3,'SBA Size Standards'!$B$3:$G$3,0),FALSE),"")</f>
        <v>Revenue</v>
      </c>
      <c r="CT410" s="60">
        <f>IF(CQ410="Y",IF($CS410="Employment","N/A",VLOOKUP($CM410,'SBA Size Standards'!$B$3:$G$57,MATCH('SBA Size Standards'!$E$3,'SBA Size Standards'!$B$3:$G$3,0),FALSE)),"")</f>
        <v>41500000</v>
      </c>
      <c r="CU410" s="86" t="str">
        <f>IF($CQ410="Y",IF($CS410="Revenue","N/A",VLOOKUP($CM410,'SBA Size Standards'!$B$3:$G$57,MATCH('SBA Size Standards'!$F$3,'SBA Size Standards'!$B$3:$G$3,0),FALSE)),"")</f>
        <v>N/A</v>
      </c>
      <c r="CV410" t="str">
        <f>IF($CQ410="Y",IF(OR(AND($CS410="Employment",$CL410&lt;$CU410),AND($CS410="Revenue",$CK410&lt;$CT410)),"YES","NO"),"")</f>
        <v>YES</v>
      </c>
      <c r="CW410" s="90" t="str">
        <f>IF($CQ410="Y",INDEX('SBA Size Standards'!$N$3:$N$12,MATCH($CK410,'SBA Size Standards'!$O$3:$O$12,1)),"")</f>
        <v>$50,001 - $100,000</v>
      </c>
      <c r="CX410" s="122" t="s">
        <v>4791</v>
      </c>
      <c r="CY410" s="122">
        <f>INDEX('NM O&amp;G Production'!$P$3:$P$537,MATCH(CX410,'NM O&amp;G Production'!$Q$3:$Q$537,0))</f>
        <v>249</v>
      </c>
      <c r="CZ410" s="122" t="str">
        <f>INDEX('NM O&amp;G Production'!$O$3:$O$537,MATCH(CY410,'NM O&amp;G Production'!$P$3:$P$537,0))</f>
        <v>Yes</v>
      </c>
      <c r="DA410" s="127">
        <f>INDEX('NM O&amp;G Production'!$K$3:$O$537,MATCH($CY410,'NM O&amp;G Production'!$P$3:$P$537,0),MATCH(DA$2,'NM O&amp;G Production'!$K$2:$O$2,0))</f>
        <v>0</v>
      </c>
      <c r="DB410" s="127">
        <f>INDEX('NM O&amp;G Production'!$K$3:$O$537,MATCH($CY410,'NM O&amp;G Production'!$P$3:$P$537,0),MATCH(DB$2,'NM O&amp;G Production'!$K$2:$O$2,0))</f>
        <v>1</v>
      </c>
      <c r="DC410" s="127">
        <f>DA410+DB410</f>
        <v>1</v>
      </c>
      <c r="DD410" s="127">
        <f>INDEX('NM O&amp;G Production'!$K$3:$O$537,MATCH($CY410,'NM O&amp;G Production'!$P$3:$P$537,0),MATCH(DD$2,'NM O&amp;G Production'!$K$2:$O$2,0))</f>
        <v>0</v>
      </c>
      <c r="DE410" s="127">
        <f>INDEX('NM O&amp;G Production'!$K$3:$O$537,MATCH($CY410,'NM O&amp;G Production'!$P$3:$P$537,0),MATCH(DE$2,'NM O&amp;G Production'!$K$2:$O$2,0))</f>
        <v>5</v>
      </c>
      <c r="DF410" s="258">
        <f>CK410/(DB410+DA410)</f>
        <v>84000</v>
      </c>
      <c r="DG410" s="57">
        <f>DD410*(12/18)*1.06*'Oil and Gas Prices'!$C$18</f>
        <v>0</v>
      </c>
      <c r="DH410" s="284">
        <f>DE410*(12/18)*'Oil and Gas Prices'!$C$4</f>
        <v>150</v>
      </c>
      <c r="DI410" s="284">
        <f>DG410+DH410</f>
        <v>150</v>
      </c>
      <c r="DJ410" s="57">
        <f>(DG410+DH410)/(DA410+DB410)</f>
        <v>150</v>
      </c>
      <c r="DK410" s="319"/>
    </row>
    <row r="411" spans="1:115" s="21" customFormat="1" x14ac:dyDescent="0.25">
      <c r="A411" t="s">
        <v>2191</v>
      </c>
      <c r="B411" t="s">
        <v>2192</v>
      </c>
      <c r="C411"/>
      <c r="D411" t="s">
        <v>153</v>
      </c>
      <c r="E411" t="s">
        <v>80</v>
      </c>
      <c r="F411">
        <v>79710</v>
      </c>
      <c r="G411" t="s">
        <v>62</v>
      </c>
      <c r="H411"/>
      <c r="I411">
        <v>310</v>
      </c>
      <c r="J411" t="s">
        <v>63</v>
      </c>
      <c r="K411" t="s">
        <v>4133</v>
      </c>
      <c r="L411" t="s">
        <v>279</v>
      </c>
      <c r="M411">
        <v>8</v>
      </c>
      <c r="N411" t="s">
        <v>2193</v>
      </c>
      <c r="O411" t="s">
        <v>2194</v>
      </c>
      <c r="P411"/>
      <c r="Q411" t="s">
        <v>2195</v>
      </c>
      <c r="R411" t="s">
        <v>153</v>
      </c>
      <c r="S411" t="s">
        <v>94</v>
      </c>
      <c r="T411" t="s">
        <v>2196</v>
      </c>
      <c r="U411" t="s">
        <v>62</v>
      </c>
      <c r="V411">
        <v>4055485515</v>
      </c>
      <c r="W411" s="1">
        <v>83113</v>
      </c>
      <c r="X411">
        <v>2</v>
      </c>
      <c r="Y411">
        <v>2</v>
      </c>
      <c r="Z411">
        <v>2019</v>
      </c>
      <c r="AA411" t="s">
        <v>70</v>
      </c>
      <c r="AB411"/>
      <c r="AC411"/>
      <c r="AD411" t="s">
        <v>2197</v>
      </c>
      <c r="AE411">
        <v>6798</v>
      </c>
      <c r="AF411" t="s">
        <v>2198</v>
      </c>
      <c r="AG411"/>
      <c r="AH411"/>
      <c r="AI411">
        <v>67980000</v>
      </c>
      <c r="AJ411" t="s">
        <v>2199</v>
      </c>
      <c r="AK411"/>
      <c r="AL411"/>
      <c r="AM411">
        <v>531110</v>
      </c>
      <c r="AN411" t="s">
        <v>2200</v>
      </c>
      <c r="AO411"/>
      <c r="AP411"/>
      <c r="AQ411" t="s">
        <v>75</v>
      </c>
      <c r="AR411"/>
      <c r="AS411"/>
      <c r="AT411" t="s">
        <v>76</v>
      </c>
      <c r="AU411"/>
      <c r="AV411"/>
      <c r="AW411"/>
      <c r="AX411"/>
      <c r="AY411"/>
      <c r="AZ411"/>
      <c r="BA411"/>
      <c r="BB411"/>
      <c r="BC411"/>
      <c r="BD411"/>
      <c r="BE411"/>
      <c r="BF411">
        <v>0</v>
      </c>
      <c r="BG411">
        <v>0</v>
      </c>
      <c r="BH411" s="4"/>
      <c r="BI411" s="4"/>
      <c r="BJ411" s="4"/>
      <c r="BK411" s="4"/>
      <c r="BL411" s="4"/>
      <c r="BM411" s="4"/>
      <c r="BN411" s="4"/>
      <c r="BO411" s="4"/>
      <c r="BP411" s="4"/>
      <c r="BQ411" s="4"/>
      <c r="BR411" s="4"/>
      <c r="BS411" s="4"/>
      <c r="BT411" s="4"/>
      <c r="BU411" s="4"/>
      <c r="BV411" s="4"/>
      <c r="BW411" s="4"/>
      <c r="BX411" s="4"/>
      <c r="BY411" s="4"/>
      <c r="BZ411" s="4"/>
      <c r="CA411" s="4"/>
      <c r="CB411" s="4"/>
      <c r="CC411" s="4"/>
      <c r="CD411" s="4"/>
      <c r="CE411" s="4"/>
      <c r="CF411" s="4"/>
      <c r="CG411" s="4"/>
      <c r="CH411" s="4"/>
      <c r="CI411" s="4"/>
      <c r="CJ411" s="4"/>
      <c r="CK411" s="19">
        <f>IF(BQ411&gt;0,BQ411,W411)</f>
        <v>83113</v>
      </c>
      <c r="CL411" s="20">
        <f>IF(BS411&gt;0,BS411,Y411)</f>
        <v>2</v>
      </c>
      <c r="CM411" s="34">
        <f>IF(CG411&gt;0,CG411,AM411)</f>
        <v>531110</v>
      </c>
      <c r="CN411" s="80">
        <f>IF($BH411="",1,COUNTIF($BH$3:$BH411,$BH411))</f>
        <v>1</v>
      </c>
      <c r="CO411"/>
      <c r="CP411" t="str">
        <f>IF($K411="Standard Match","Match",IF($K411="Name Only Match",IF($CO411="Yes","Match","Name Only Match"),"No Match"))</f>
        <v>Match</v>
      </c>
      <c r="CQ411" s="35" t="str">
        <f>IF(AND(CP411="Match",CK411&gt;0,CL411&gt;0),"Y","N")</f>
        <v>Y</v>
      </c>
      <c r="CR411"/>
      <c r="CS411" t="str">
        <f>IF($CQ411="Y",VLOOKUP($CM411,'SBA Size Standards'!$B$3:$G$57,MATCH('SBA Size Standards'!$G$3,'SBA Size Standards'!$B$3:$G$3,0),FALSE),"")</f>
        <v>Revenue</v>
      </c>
      <c r="CT411" s="60">
        <f>IF(CQ411="Y",IF($CS411="Employment","N/A",VLOOKUP($CM411,'SBA Size Standards'!$B$3:$G$57,MATCH('SBA Size Standards'!$E$3,'SBA Size Standards'!$B$3:$G$3,0),FALSE)),"")</f>
        <v>30000000</v>
      </c>
      <c r="CU411" s="86" t="str">
        <f>IF($CQ411="Y",IF($CS411="Revenue","N/A",VLOOKUP($CM411,'SBA Size Standards'!$B$3:$G$57,MATCH('SBA Size Standards'!$F$3,'SBA Size Standards'!$B$3:$G$3,0),FALSE)),"")</f>
        <v>N/A</v>
      </c>
      <c r="CV411" t="str">
        <f>IF($CQ411="Y",IF(OR(AND($CS411="Employment",$CL411&lt;$CU411),AND($CS411="Revenue",$CK411&lt;$CT411)),"YES","NO"),"")</f>
        <v>YES</v>
      </c>
      <c r="CW411" s="90" t="str">
        <f>IF($CQ411="Y",INDEX('SBA Size Standards'!$N$3:$N$12,MATCH($CK411,'SBA Size Standards'!$O$3:$O$12,1)),"")</f>
        <v>$50,001 - $100,000</v>
      </c>
      <c r="CX411" s="122" t="s">
        <v>4870</v>
      </c>
      <c r="CY411" s="122">
        <f>INDEX('NM O&amp;G Production'!$P$3:$P$537,MATCH(CX411,'NM O&amp;G Production'!$Q$3:$Q$537,0))</f>
        <v>310</v>
      </c>
      <c r="CZ411" s="122" t="str">
        <f>INDEX('NM O&amp;G Production'!$O$3:$O$537,MATCH(CY411,'NM O&amp;G Production'!$P$3:$P$537,0))</f>
        <v>Yes</v>
      </c>
      <c r="DA411" s="127">
        <f>INDEX('NM O&amp;G Production'!$K$3:$O$537,MATCH($CY411,'NM O&amp;G Production'!$P$3:$P$537,0),MATCH(DA$2,'NM O&amp;G Production'!$K$2:$O$2,0))</f>
        <v>0</v>
      </c>
      <c r="DB411" s="127">
        <f>INDEX('NM O&amp;G Production'!$K$3:$O$537,MATCH($CY411,'NM O&amp;G Production'!$P$3:$P$537,0),MATCH(DB$2,'NM O&amp;G Production'!$K$2:$O$2,0))</f>
        <v>34</v>
      </c>
      <c r="DC411" s="127">
        <f>DA411+DB411</f>
        <v>34</v>
      </c>
      <c r="DD411" s="127">
        <f>INDEX('NM O&amp;G Production'!$K$3:$O$537,MATCH($CY411,'NM O&amp;G Production'!$P$3:$P$537,0),MATCH(DD$2,'NM O&amp;G Production'!$K$2:$O$2,0))</f>
        <v>4125</v>
      </c>
      <c r="DE411" s="127">
        <f>INDEX('NM O&amp;G Production'!$K$3:$O$537,MATCH($CY411,'NM O&amp;G Production'!$P$3:$P$537,0),MATCH(DE$2,'NM O&amp;G Production'!$K$2:$O$2,0))</f>
        <v>17890</v>
      </c>
      <c r="DF411" s="258">
        <f>CK411/(DB411+DA411)</f>
        <v>2444.5</v>
      </c>
      <c r="DG411" s="57">
        <f>DD411*(12/18)*1.06*'Oil and Gas Prices'!$C$18</f>
        <v>6966.85</v>
      </c>
      <c r="DH411" s="284">
        <f>DE411*(12/18)*'Oil and Gas Prices'!$C$4</f>
        <v>536700</v>
      </c>
      <c r="DI411" s="284">
        <f>DG411+DH411</f>
        <v>543666.85</v>
      </c>
      <c r="DJ411" s="57">
        <f>(DG411+DH411)/(DA411+DB411)</f>
        <v>15990.201470588234</v>
      </c>
      <c r="DK411" s="318"/>
    </row>
    <row r="412" spans="1:115" x14ac:dyDescent="0.25">
      <c r="A412" t="s">
        <v>963</v>
      </c>
      <c r="B412" t="s">
        <v>964</v>
      </c>
      <c r="D412" t="s">
        <v>378</v>
      </c>
      <c r="E412" t="s">
        <v>80</v>
      </c>
      <c r="F412">
        <v>75240</v>
      </c>
      <c r="G412" t="s">
        <v>62</v>
      </c>
      <c r="I412">
        <v>125</v>
      </c>
      <c r="J412" t="s">
        <v>63</v>
      </c>
      <c r="K412" t="s">
        <v>4133</v>
      </c>
      <c r="L412" t="s">
        <v>965</v>
      </c>
      <c r="M412">
        <v>8</v>
      </c>
      <c r="N412" t="s">
        <v>966</v>
      </c>
      <c r="O412" t="s">
        <v>967</v>
      </c>
      <c r="Q412" t="s">
        <v>968</v>
      </c>
      <c r="R412" t="s">
        <v>378</v>
      </c>
      <c r="S412" t="s">
        <v>94</v>
      </c>
      <c r="T412" t="s">
        <v>969</v>
      </c>
      <c r="U412" t="s">
        <v>62</v>
      </c>
      <c r="V412">
        <v>9723715232</v>
      </c>
      <c r="W412" s="1">
        <v>81957</v>
      </c>
      <c r="X412">
        <v>2</v>
      </c>
      <c r="Y412">
        <v>2</v>
      </c>
      <c r="Z412">
        <v>2018</v>
      </c>
      <c r="AA412" t="s">
        <v>70</v>
      </c>
      <c r="AD412" t="s">
        <v>119</v>
      </c>
      <c r="AE412">
        <v>1382</v>
      </c>
      <c r="AF412" t="s">
        <v>120</v>
      </c>
      <c r="AI412">
        <v>13820000</v>
      </c>
      <c r="AJ412" t="s">
        <v>119</v>
      </c>
      <c r="AM412">
        <v>213112</v>
      </c>
      <c r="AN412" t="s">
        <v>74</v>
      </c>
      <c r="AQ412" t="s">
        <v>75</v>
      </c>
      <c r="AT412" t="s">
        <v>76</v>
      </c>
      <c r="BF412">
        <v>0</v>
      </c>
      <c r="BG412">
        <v>0</v>
      </c>
      <c r="CK412" s="19">
        <f>IF(BQ412&gt;0,BQ412,W412)</f>
        <v>81957</v>
      </c>
      <c r="CL412" s="20">
        <f>IF(BS412&gt;0,BS412,Y412)</f>
        <v>2</v>
      </c>
      <c r="CM412" s="34">
        <f>IF(CG412&gt;0,CG412,AM412)</f>
        <v>213112</v>
      </c>
      <c r="CN412" s="80">
        <f>IF($BH412="",1,COUNTIF($BH$3:$BH412,$BH412))</f>
        <v>1</v>
      </c>
      <c r="CP412" t="str">
        <f>IF($K412="Standard Match","Match",IF($K412="Name Only Match",IF($CO412="Yes","Match","Name Only Match"),"No Match"))</f>
        <v>Match</v>
      </c>
      <c r="CQ412" s="35" t="str">
        <f>IF(AND(CP412="Match",CK412&gt;0,CL412&gt;0),"Y","N")</f>
        <v>Y</v>
      </c>
      <c r="CS412" t="str">
        <f>IF($CQ412="Y",VLOOKUP($CM412,'SBA Size Standards'!$B$3:$G$57,MATCH('SBA Size Standards'!$G$3,'SBA Size Standards'!$B$3:$G$3,0),FALSE),"")</f>
        <v>Revenue</v>
      </c>
      <c r="CT412" s="60">
        <f>IF(CQ412="Y",IF($CS412="Employment","N/A",VLOOKUP($CM412,'SBA Size Standards'!$B$3:$G$57,MATCH('SBA Size Standards'!$E$3,'SBA Size Standards'!$B$3:$G$3,0),FALSE)),"")</f>
        <v>41500000</v>
      </c>
      <c r="CU412" s="86" t="str">
        <f>IF($CQ412="Y",IF($CS412="Revenue","N/A",VLOOKUP($CM412,'SBA Size Standards'!$B$3:$G$57,MATCH('SBA Size Standards'!$F$3,'SBA Size Standards'!$B$3:$G$3,0),FALSE)),"")</f>
        <v>N/A</v>
      </c>
      <c r="CV412" t="str">
        <f>IF($CQ412="Y",IF(OR(AND($CS412="Employment",$CL412&lt;$CU412),AND($CS412="Revenue",$CK412&lt;$CT412)),"YES","NO"),"")</f>
        <v>YES</v>
      </c>
      <c r="CW412" s="90" t="str">
        <f>IF($CQ412="Y",INDEX('SBA Size Standards'!$N$3:$N$12,MATCH($CK412,'SBA Size Standards'!$O$3:$O$12,1)),"")</f>
        <v>$50,001 - $100,000</v>
      </c>
      <c r="CX412" s="122" t="s">
        <v>4832</v>
      </c>
      <c r="CY412" s="122">
        <f>INDEX('NM O&amp;G Production'!$P$3:$P$537,MATCH(CX412,'NM O&amp;G Production'!$Q$3:$Q$537,0))</f>
        <v>125</v>
      </c>
      <c r="CZ412" s="122" t="str">
        <f>INDEX('NM O&amp;G Production'!$O$3:$O$537,MATCH(CY412,'NM O&amp;G Production'!$P$3:$P$537,0))</f>
        <v>No</v>
      </c>
      <c r="DA412" s="127">
        <f>INDEX('NM O&amp;G Production'!$K$3:$O$537,MATCH($CY412,'NM O&amp;G Production'!$P$3:$P$537,0),MATCH(DA$2,'NM O&amp;G Production'!$K$2:$O$2,0))</f>
        <v>0</v>
      </c>
      <c r="DB412" s="127">
        <f>INDEX('NM O&amp;G Production'!$K$3:$O$537,MATCH($CY412,'NM O&amp;G Production'!$P$3:$P$537,0),MATCH(DB$2,'NM O&amp;G Production'!$K$2:$O$2,0))</f>
        <v>0</v>
      </c>
      <c r="DC412" s="127"/>
      <c r="DD412" s="127">
        <f>INDEX('NM O&amp;G Production'!$K$3:$O$537,MATCH($CY412,'NM O&amp;G Production'!$P$3:$P$537,0),MATCH(DD$2,'NM O&amp;G Production'!$K$2:$O$2,0))</f>
        <v>0</v>
      </c>
      <c r="DE412" s="127">
        <f>INDEX('NM O&amp;G Production'!$K$3:$O$537,MATCH($CY412,'NM O&amp;G Production'!$P$3:$P$537,0),MATCH(DE$2,'NM O&amp;G Production'!$K$2:$O$2,0))</f>
        <v>0</v>
      </c>
      <c r="DF412" s="258" t="e">
        <f>CK412/(DB412+DA412)</f>
        <v>#DIV/0!</v>
      </c>
      <c r="DG412" s="57">
        <f>DD412*(12/18)*1.06*'Oil and Gas Prices'!$C$18</f>
        <v>0</v>
      </c>
      <c r="DH412" s="284">
        <f>DE412*(12/18)*'Oil and Gas Prices'!$C$4</f>
        <v>0</v>
      </c>
      <c r="DI412" s="284"/>
      <c r="DJ412" s="57" t="e">
        <f>(DG412+DH412)/(DA412+DB412)</f>
        <v>#DIV/0!</v>
      </c>
      <c r="DK412" s="18" t="e">
        <f>CK412/DI412</f>
        <v>#DIV/0!</v>
      </c>
    </row>
    <row r="413" spans="1:115" x14ac:dyDescent="0.25">
      <c r="A413" t="s">
        <v>3137</v>
      </c>
      <c r="B413" t="s">
        <v>3138</v>
      </c>
      <c r="D413" t="s">
        <v>161</v>
      </c>
      <c r="E413" t="s">
        <v>80</v>
      </c>
      <c r="F413">
        <v>77380</v>
      </c>
      <c r="G413" t="s">
        <v>62</v>
      </c>
      <c r="I413">
        <v>460</v>
      </c>
      <c r="J413" t="s">
        <v>63</v>
      </c>
      <c r="K413" t="s">
        <v>4133</v>
      </c>
      <c r="L413" t="s">
        <v>113</v>
      </c>
      <c r="M413">
        <v>8</v>
      </c>
      <c r="N413" t="s">
        <v>3139</v>
      </c>
      <c r="O413" t="s">
        <v>3140</v>
      </c>
      <c r="Q413" t="s">
        <v>3141</v>
      </c>
      <c r="R413" t="s">
        <v>2834</v>
      </c>
      <c r="S413" t="s">
        <v>94</v>
      </c>
      <c r="T413" t="s">
        <v>3142</v>
      </c>
      <c r="U413" t="s">
        <v>62</v>
      </c>
      <c r="V413">
        <v>8324134770</v>
      </c>
      <c r="W413" s="1">
        <v>81957</v>
      </c>
      <c r="X413">
        <v>2</v>
      </c>
      <c r="Y413">
        <v>2</v>
      </c>
      <c r="Z413">
        <v>2017</v>
      </c>
      <c r="AA413" t="s">
        <v>70</v>
      </c>
      <c r="AD413" t="s">
        <v>99</v>
      </c>
      <c r="AE413">
        <v>1311</v>
      </c>
      <c r="AF413" t="s">
        <v>100</v>
      </c>
      <c r="AI413">
        <v>13110000</v>
      </c>
      <c r="AJ413" t="s">
        <v>276</v>
      </c>
      <c r="AM413">
        <v>211120</v>
      </c>
      <c r="AN413" t="s">
        <v>104</v>
      </c>
      <c r="AQ413" t="s">
        <v>75</v>
      </c>
      <c r="AT413" t="s">
        <v>76</v>
      </c>
      <c r="BF413">
        <v>0</v>
      </c>
      <c r="BG413">
        <v>0</v>
      </c>
      <c r="CK413" s="19">
        <f>IF(BQ413&gt;0,BQ413,W413)</f>
        <v>81957</v>
      </c>
      <c r="CL413" s="20">
        <f>IF(BS413&gt;0,BS413,Y413)</f>
        <v>2</v>
      </c>
      <c r="CM413" s="34">
        <f>IF(CG413&gt;0,CG413,AM413)</f>
        <v>211120</v>
      </c>
      <c r="CN413" s="80">
        <f>IF($BH413="",1,COUNTIF($BH$3:$BH413,$BH413))</f>
        <v>1</v>
      </c>
      <c r="CP413" t="str">
        <f>IF($K413="Standard Match","Match",IF($K413="Name Only Match",IF($CO413="Yes","Match","Name Only Match"),"No Match"))</f>
        <v>Match</v>
      </c>
      <c r="CQ413" s="35" t="str">
        <f>IF(AND(CP413="Match",CK413&gt;0,CL413&gt;0),"Y","N")</f>
        <v>Y</v>
      </c>
      <c r="CS413" t="str">
        <f>IF($CQ413="Y",VLOOKUP($CM413,'SBA Size Standards'!$B$3:$G$57,MATCH('SBA Size Standards'!$G$3,'SBA Size Standards'!$B$3:$G$3,0),FALSE),"")</f>
        <v>Employment</v>
      </c>
      <c r="CT413" s="60" t="str">
        <f>IF(CQ413="Y",IF($CS413="Employment","N/A",VLOOKUP($CM413,'SBA Size Standards'!$B$3:$G$57,MATCH('SBA Size Standards'!$E$3,'SBA Size Standards'!$B$3:$G$3,0),FALSE)),"")</f>
        <v>N/A</v>
      </c>
      <c r="CU413" s="86">
        <f>IF($CQ413="Y",IF($CS413="Revenue","N/A",VLOOKUP($CM413,'SBA Size Standards'!$B$3:$G$57,MATCH('SBA Size Standards'!$F$3,'SBA Size Standards'!$B$3:$G$3,0),FALSE)),"")</f>
        <v>1250</v>
      </c>
      <c r="CV413" t="str">
        <f>IF($CQ413="Y",IF(OR(AND($CS413="Employment",$CL413&lt;$CU413),AND($CS413="Revenue",$CK413&lt;$CT413)),"YES","NO"),"")</f>
        <v>YES</v>
      </c>
      <c r="CW413" s="90" t="str">
        <f>IF($CQ413="Y",INDEX('SBA Size Standards'!$N$3:$N$12,MATCH($CK413,'SBA Size Standards'!$O$3:$O$12,1)),"")</f>
        <v>$50,001 - $100,000</v>
      </c>
      <c r="CX413" s="122" t="s">
        <v>4905</v>
      </c>
      <c r="CY413" s="122">
        <f>INDEX('NM O&amp;G Production'!$P$3:$P$537,MATCH(CX413,'NM O&amp;G Production'!$Q$3:$Q$537,0))</f>
        <v>460</v>
      </c>
      <c r="CZ413" s="122" t="str">
        <f>INDEX('NM O&amp;G Production'!$O$3:$O$537,MATCH(CY413,'NM O&amp;G Production'!$P$3:$P$537,0))</f>
        <v>No</v>
      </c>
      <c r="DA413" s="127">
        <f>INDEX('NM O&amp;G Production'!$K$3:$O$537,MATCH($CY413,'NM O&amp;G Production'!$P$3:$P$537,0),MATCH(DA$2,'NM O&amp;G Production'!$K$2:$O$2,0))</f>
        <v>0</v>
      </c>
      <c r="DB413" s="127">
        <f>INDEX('NM O&amp;G Production'!$K$3:$O$537,MATCH($CY413,'NM O&amp;G Production'!$P$3:$P$537,0),MATCH(DB$2,'NM O&amp;G Production'!$K$2:$O$2,0))</f>
        <v>0</v>
      </c>
      <c r="DC413" s="127"/>
      <c r="DD413" s="127">
        <f>INDEX('NM O&amp;G Production'!$K$3:$O$537,MATCH($CY413,'NM O&amp;G Production'!$P$3:$P$537,0),MATCH(DD$2,'NM O&amp;G Production'!$K$2:$O$2,0))</f>
        <v>0</v>
      </c>
      <c r="DE413" s="127">
        <f>INDEX('NM O&amp;G Production'!$K$3:$O$537,MATCH($CY413,'NM O&amp;G Production'!$P$3:$P$537,0),MATCH(DE$2,'NM O&amp;G Production'!$K$2:$O$2,0))</f>
        <v>0</v>
      </c>
      <c r="DF413" s="258" t="e">
        <f>CK413/(DB413+DA413)</f>
        <v>#DIV/0!</v>
      </c>
      <c r="DG413" s="57">
        <f>DD413*(12/18)*1.06*'Oil and Gas Prices'!$C$18</f>
        <v>0</v>
      </c>
      <c r="DH413" s="284">
        <f>DE413*(12/18)*'Oil and Gas Prices'!$C$4</f>
        <v>0</v>
      </c>
      <c r="DI413" s="284"/>
      <c r="DJ413" s="57" t="e">
        <f>(DG413+DH413)/(DA413+DB413)</f>
        <v>#DIV/0!</v>
      </c>
      <c r="DK413" s="18" t="e">
        <f>CK413/DI413</f>
        <v>#DIV/0!</v>
      </c>
    </row>
    <row r="414" spans="1:115" x14ac:dyDescent="0.25">
      <c r="A414" t="s">
        <v>2361</v>
      </c>
      <c r="B414" t="s">
        <v>2362</v>
      </c>
      <c r="D414" t="s">
        <v>2363</v>
      </c>
      <c r="E414" t="s">
        <v>184</v>
      </c>
      <c r="F414">
        <v>73116</v>
      </c>
      <c r="G414" t="s">
        <v>62</v>
      </c>
      <c r="I414">
        <v>334</v>
      </c>
      <c r="J414" t="s">
        <v>63</v>
      </c>
      <c r="K414" t="s">
        <v>4133</v>
      </c>
      <c r="L414" t="s">
        <v>64</v>
      </c>
      <c r="M414">
        <v>10</v>
      </c>
      <c r="N414" t="s">
        <v>2364</v>
      </c>
      <c r="O414" t="s">
        <v>2365</v>
      </c>
      <c r="Q414" t="s">
        <v>2366</v>
      </c>
      <c r="R414" t="s">
        <v>2363</v>
      </c>
      <c r="S414" t="s">
        <v>188</v>
      </c>
      <c r="T414" t="s">
        <v>2367</v>
      </c>
      <c r="U414" t="s">
        <v>62</v>
      </c>
      <c r="W414" s="1">
        <v>81957</v>
      </c>
      <c r="X414">
        <v>2</v>
      </c>
      <c r="Y414">
        <v>2</v>
      </c>
      <c r="Z414">
        <v>2019</v>
      </c>
      <c r="AA414" t="s">
        <v>70</v>
      </c>
      <c r="AD414" t="s">
        <v>119</v>
      </c>
      <c r="AE414">
        <v>1382</v>
      </c>
      <c r="AF414" t="s">
        <v>120</v>
      </c>
      <c r="AI414">
        <v>13820000</v>
      </c>
      <c r="AJ414" t="s">
        <v>119</v>
      </c>
      <c r="AM414">
        <v>213112</v>
      </c>
      <c r="AN414" t="s">
        <v>74</v>
      </c>
      <c r="AQ414" t="s">
        <v>75</v>
      </c>
      <c r="AT414" t="s">
        <v>76</v>
      </c>
      <c r="BF414">
        <v>0</v>
      </c>
      <c r="BG414">
        <v>0</v>
      </c>
      <c r="CK414" s="19">
        <f>IF(BQ414&gt;0,BQ414,W414)</f>
        <v>81957</v>
      </c>
      <c r="CL414" s="20">
        <f>IF(BS414&gt;0,BS414,Y414)</f>
        <v>2</v>
      </c>
      <c r="CM414" s="34">
        <f>IF(CG414&gt;0,CG414,AM414)</f>
        <v>213112</v>
      </c>
      <c r="CN414" s="80">
        <f>IF($BH414="",1,COUNTIF($BH$3:$BH414,$BH414))</f>
        <v>1</v>
      </c>
      <c r="CP414" t="str">
        <f>IF($K414="Standard Match","Match",IF($K414="Name Only Match",IF($CO414="Yes","Match","Name Only Match"),"No Match"))</f>
        <v>Match</v>
      </c>
      <c r="CQ414" s="35" t="str">
        <f>IF(AND(CP414="Match",CK414&gt;0,CL414&gt;0),"Y","N")</f>
        <v>Y</v>
      </c>
      <c r="CS414" t="str">
        <f>IF($CQ414="Y",VLOOKUP($CM414,'SBA Size Standards'!$B$3:$G$57,MATCH('SBA Size Standards'!$G$3,'SBA Size Standards'!$B$3:$G$3,0),FALSE),"")</f>
        <v>Revenue</v>
      </c>
      <c r="CT414" s="60">
        <f>IF(CQ414="Y",IF($CS414="Employment","N/A",VLOOKUP($CM414,'SBA Size Standards'!$B$3:$G$57,MATCH('SBA Size Standards'!$E$3,'SBA Size Standards'!$B$3:$G$3,0),FALSE)),"")</f>
        <v>41500000</v>
      </c>
      <c r="CU414" s="86" t="str">
        <f>IF($CQ414="Y",IF($CS414="Revenue","N/A",VLOOKUP($CM414,'SBA Size Standards'!$B$3:$G$57,MATCH('SBA Size Standards'!$F$3,'SBA Size Standards'!$B$3:$G$3,0),FALSE)),"")</f>
        <v>N/A</v>
      </c>
      <c r="CV414" t="str">
        <f>IF($CQ414="Y",IF(OR(AND($CS414="Employment",$CL414&lt;$CU414),AND($CS414="Revenue",$CK414&lt;$CT414)),"YES","NO"),"")</f>
        <v>YES</v>
      </c>
      <c r="CW414" s="90" t="str">
        <f>IF($CQ414="Y",INDEX('SBA Size Standards'!$N$3:$N$12,MATCH($CK414,'SBA Size Standards'!$O$3:$O$12,1)),"")</f>
        <v>$50,001 - $100,000</v>
      </c>
      <c r="CX414" s="122" t="s">
        <v>4690</v>
      </c>
      <c r="CY414" s="122">
        <f>INDEX('NM O&amp;G Production'!$P$3:$P$537,MATCH(CX414,'NM O&amp;G Production'!$Q$3:$Q$537,0))</f>
        <v>334</v>
      </c>
      <c r="CZ414" s="122" t="str">
        <f>INDEX('NM O&amp;G Production'!$O$3:$O$537,MATCH(CY414,'NM O&amp;G Production'!$P$3:$P$537,0))</f>
        <v>Yes</v>
      </c>
      <c r="DA414" s="127">
        <f>INDEX('NM O&amp;G Production'!$K$3:$O$537,MATCH($CY414,'NM O&amp;G Production'!$P$3:$P$537,0),MATCH(DA$2,'NM O&amp;G Production'!$K$2:$O$2,0))</f>
        <v>8</v>
      </c>
      <c r="DB414" s="127">
        <f>INDEX('NM O&amp;G Production'!$K$3:$O$537,MATCH($CY414,'NM O&amp;G Production'!$P$3:$P$537,0),MATCH(DB$2,'NM O&amp;G Production'!$K$2:$O$2,0))</f>
        <v>30</v>
      </c>
      <c r="DC414" s="127">
        <f>DA414+DB414</f>
        <v>38</v>
      </c>
      <c r="DD414" s="127">
        <f>INDEX('NM O&amp;G Production'!$K$3:$O$537,MATCH($CY414,'NM O&amp;G Production'!$P$3:$P$537,0),MATCH(DD$2,'NM O&amp;G Production'!$K$2:$O$2,0))</f>
        <v>127838</v>
      </c>
      <c r="DE414" s="127">
        <f>INDEX('NM O&amp;G Production'!$K$3:$O$537,MATCH($CY414,'NM O&amp;G Production'!$P$3:$P$537,0),MATCH(DE$2,'NM O&amp;G Production'!$K$2:$O$2,0))</f>
        <v>8862</v>
      </c>
      <c r="DF414" s="258">
        <f>CK414/(DB414+DA414)</f>
        <v>2156.7631578947367</v>
      </c>
      <c r="DG414" s="57">
        <f>DD414*(12/18)*1.06*'Oil and Gas Prices'!$C$18</f>
        <v>215909.85946666668</v>
      </c>
      <c r="DH414" s="284">
        <f>DE414*(12/18)*'Oil and Gas Prices'!$C$4</f>
        <v>265860</v>
      </c>
      <c r="DI414" s="284">
        <f>DG414+DH414</f>
        <v>481769.8594666667</v>
      </c>
      <c r="DJ414" s="57">
        <f>(DG414+DH414)/(DA414+DB414)</f>
        <v>12678.154196491229</v>
      </c>
      <c r="DK414" s="318"/>
    </row>
    <row r="415" spans="1:115" s="21" customFormat="1" x14ac:dyDescent="0.25">
      <c r="A415" t="s">
        <v>345</v>
      </c>
      <c r="B415" t="s">
        <v>346</v>
      </c>
      <c r="C415"/>
      <c r="D415" t="s">
        <v>347</v>
      </c>
      <c r="E415" t="s">
        <v>184</v>
      </c>
      <c r="F415">
        <v>73008</v>
      </c>
      <c r="G415" t="s">
        <v>62</v>
      </c>
      <c r="H415"/>
      <c r="I415">
        <v>39</v>
      </c>
      <c r="J415" t="s">
        <v>89</v>
      </c>
      <c r="K415" t="s">
        <v>4133</v>
      </c>
      <c r="L415" t="s">
        <v>113</v>
      </c>
      <c r="M415">
        <v>8</v>
      </c>
      <c r="N415" t="s">
        <v>348</v>
      </c>
      <c r="O415" t="s">
        <v>349</v>
      </c>
      <c r="P415"/>
      <c r="Q415" t="s">
        <v>350</v>
      </c>
      <c r="R415" t="s">
        <v>347</v>
      </c>
      <c r="S415" t="s">
        <v>188</v>
      </c>
      <c r="T415" t="s">
        <v>351</v>
      </c>
      <c r="U415" t="s">
        <v>62</v>
      </c>
      <c r="V415"/>
      <c r="W415" s="1">
        <v>80212</v>
      </c>
      <c r="X415">
        <v>2</v>
      </c>
      <c r="Y415">
        <v>2</v>
      </c>
      <c r="Z415">
        <v>2017</v>
      </c>
      <c r="AA415" t="s">
        <v>70</v>
      </c>
      <c r="AB415"/>
      <c r="AC415"/>
      <c r="AD415" t="s">
        <v>352</v>
      </c>
      <c r="AE415">
        <v>6531</v>
      </c>
      <c r="AF415" t="s">
        <v>353</v>
      </c>
      <c r="AG415"/>
      <c r="AH415"/>
      <c r="AI415">
        <v>65310000</v>
      </c>
      <c r="AJ415" t="s">
        <v>352</v>
      </c>
      <c r="AK415"/>
      <c r="AL415"/>
      <c r="AM415">
        <v>531210</v>
      </c>
      <c r="AN415" t="s">
        <v>354</v>
      </c>
      <c r="AO415"/>
      <c r="AP415"/>
      <c r="AQ415" t="s">
        <v>75</v>
      </c>
      <c r="AR415"/>
      <c r="AS415"/>
      <c r="AT415" t="s">
        <v>76</v>
      </c>
      <c r="AU415"/>
      <c r="AV415"/>
      <c r="AW415"/>
      <c r="AX415"/>
      <c r="AY415"/>
      <c r="AZ415"/>
      <c r="BA415"/>
      <c r="BB415"/>
      <c r="BC415"/>
      <c r="BD415"/>
      <c r="BE415"/>
      <c r="BF415">
        <v>0</v>
      </c>
      <c r="BG415">
        <v>0</v>
      </c>
      <c r="BH415" s="4"/>
      <c r="BI415" s="4"/>
      <c r="BJ415" s="4"/>
      <c r="BK415" s="4"/>
      <c r="BL415" s="4"/>
      <c r="BM415" s="4"/>
      <c r="BN415" s="4"/>
      <c r="BO415" s="4"/>
      <c r="BP415" s="4"/>
      <c r="BQ415" s="4"/>
      <c r="BR415" s="4"/>
      <c r="BS415" s="4"/>
      <c r="BT415" s="4"/>
      <c r="BU415" s="4"/>
      <c r="BV415" s="4"/>
      <c r="BW415" s="4"/>
      <c r="BX415" s="4"/>
      <c r="BY415" s="4"/>
      <c r="BZ415" s="4"/>
      <c r="CA415" s="4"/>
      <c r="CB415" s="4"/>
      <c r="CC415" s="4"/>
      <c r="CD415" s="4"/>
      <c r="CE415" s="4"/>
      <c r="CF415" s="4"/>
      <c r="CG415" s="4"/>
      <c r="CH415" s="4"/>
      <c r="CI415" s="4"/>
      <c r="CJ415" s="4"/>
      <c r="CK415" s="19">
        <f>IF(BQ415&gt;0,BQ415,W415)</f>
        <v>80212</v>
      </c>
      <c r="CL415" s="20">
        <f>IF(BS415&gt;0,BS415,Y415)</f>
        <v>2</v>
      </c>
      <c r="CM415" s="34">
        <f>IF(CG415&gt;0,CG415,AM415)</f>
        <v>531210</v>
      </c>
      <c r="CN415" s="80">
        <f>IF($BH415="",1,COUNTIF($BH$3:$BH415,$BH415))</f>
        <v>1</v>
      </c>
      <c r="CO415"/>
      <c r="CP415" t="str">
        <f>IF($K415="Standard Match","Match",IF($K415="Name Only Match",IF($CO415="Yes","Match","Name Only Match"),"No Match"))</f>
        <v>Match</v>
      </c>
      <c r="CQ415" s="35" t="str">
        <f>IF(AND(CP415="Match",CK415&gt;0,CL415&gt;0),"Y","N")</f>
        <v>Y</v>
      </c>
      <c r="CR415"/>
      <c r="CS415" t="str">
        <f>IF($CQ415="Y",VLOOKUP($CM415,'SBA Size Standards'!$B$3:$G$57,MATCH('SBA Size Standards'!$G$3,'SBA Size Standards'!$B$3:$G$3,0),FALSE),"")</f>
        <v>Revenue</v>
      </c>
      <c r="CT415" s="60">
        <f>IF(CQ415="Y",IF($CS415="Employment","N/A",VLOOKUP($CM415,'SBA Size Standards'!$B$3:$G$57,MATCH('SBA Size Standards'!$E$3,'SBA Size Standards'!$B$3:$G$3,0),FALSE)),"")</f>
        <v>8000000</v>
      </c>
      <c r="CU415" s="86" t="str">
        <f>IF($CQ415="Y",IF($CS415="Revenue","N/A",VLOOKUP($CM415,'SBA Size Standards'!$B$3:$G$57,MATCH('SBA Size Standards'!$F$3,'SBA Size Standards'!$B$3:$G$3,0),FALSE)),"")</f>
        <v>N/A</v>
      </c>
      <c r="CV415" t="str">
        <f>IF($CQ415="Y",IF(OR(AND($CS415="Employment",$CL415&lt;$CU415),AND($CS415="Revenue",$CK415&lt;$CT415)),"YES","NO"),"")</f>
        <v>YES</v>
      </c>
      <c r="CW415" s="90" t="str">
        <f>IF($CQ415="Y",INDEX('SBA Size Standards'!$N$3:$N$12,MATCH($CK415,'SBA Size Standards'!$O$3:$O$12,1)),"")</f>
        <v>$50,001 - $100,000</v>
      </c>
      <c r="CX415" s="122" t="s">
        <v>4807</v>
      </c>
      <c r="CY415" s="122">
        <f>INDEX('NM O&amp;G Production'!$P$3:$P$537,MATCH(CX415,'NM O&amp;G Production'!$Q$3:$Q$537,0))</f>
        <v>39</v>
      </c>
      <c r="CZ415" s="122" t="str">
        <f>INDEX('NM O&amp;G Production'!$O$3:$O$537,MATCH(CY415,'NM O&amp;G Production'!$P$3:$P$537,0))</f>
        <v>No</v>
      </c>
      <c r="DA415" s="127">
        <f>INDEX('NM O&amp;G Production'!$K$3:$O$537,MATCH($CY415,'NM O&amp;G Production'!$P$3:$P$537,0),MATCH(DA$2,'NM O&amp;G Production'!$K$2:$O$2,0))</f>
        <v>0</v>
      </c>
      <c r="DB415" s="127">
        <f>INDEX('NM O&amp;G Production'!$K$3:$O$537,MATCH($CY415,'NM O&amp;G Production'!$P$3:$P$537,0),MATCH(DB$2,'NM O&amp;G Production'!$K$2:$O$2,0))</f>
        <v>0</v>
      </c>
      <c r="DC415" s="127"/>
      <c r="DD415" s="127">
        <f>INDEX('NM O&amp;G Production'!$K$3:$O$537,MATCH($CY415,'NM O&amp;G Production'!$P$3:$P$537,0),MATCH(DD$2,'NM O&amp;G Production'!$K$2:$O$2,0))</f>
        <v>0</v>
      </c>
      <c r="DE415" s="127">
        <f>INDEX('NM O&amp;G Production'!$K$3:$O$537,MATCH($CY415,'NM O&amp;G Production'!$P$3:$P$537,0),MATCH(DE$2,'NM O&amp;G Production'!$K$2:$O$2,0))</f>
        <v>0</v>
      </c>
      <c r="DF415" s="258" t="e">
        <f>CK415/(DB415+DA415)</f>
        <v>#DIV/0!</v>
      </c>
      <c r="DG415" s="57">
        <f>DD415*(12/18)*1.06*'Oil and Gas Prices'!$C$18</f>
        <v>0</v>
      </c>
      <c r="DH415" s="284">
        <f>DE415*(12/18)*'Oil and Gas Prices'!$C$4</f>
        <v>0</v>
      </c>
      <c r="DI415" s="284"/>
      <c r="DJ415" s="57" t="e">
        <f>(DG415+DH415)/(DA415+DB415)</f>
        <v>#DIV/0!</v>
      </c>
      <c r="DK415" s="18" t="e">
        <f>CK415/DI415</f>
        <v>#DIV/0!</v>
      </c>
    </row>
    <row r="416" spans="1:115" s="21" customFormat="1" x14ac:dyDescent="0.25">
      <c r="A416" t="s">
        <v>3229</v>
      </c>
      <c r="B416" t="s">
        <v>3230</v>
      </c>
      <c r="C416"/>
      <c r="D416" t="s">
        <v>153</v>
      </c>
      <c r="E416" t="s">
        <v>80</v>
      </c>
      <c r="F416">
        <v>79701</v>
      </c>
      <c r="G416" t="s">
        <v>62</v>
      </c>
      <c r="H416"/>
      <c r="I416">
        <v>475</v>
      </c>
      <c r="J416" t="s">
        <v>63</v>
      </c>
      <c r="K416" t="s">
        <v>4133</v>
      </c>
      <c r="L416" t="s">
        <v>113</v>
      </c>
      <c r="M416">
        <v>8</v>
      </c>
      <c r="N416" t="s">
        <v>3231</v>
      </c>
      <c r="O416" t="s">
        <v>3232</v>
      </c>
      <c r="P416"/>
      <c r="Q416" t="s">
        <v>3233</v>
      </c>
      <c r="R416" t="s">
        <v>153</v>
      </c>
      <c r="S416" t="s">
        <v>94</v>
      </c>
      <c r="T416" t="s">
        <v>3234</v>
      </c>
      <c r="U416" t="s">
        <v>62</v>
      </c>
      <c r="V416"/>
      <c r="W416" s="1">
        <v>80125</v>
      </c>
      <c r="X416">
        <v>2</v>
      </c>
      <c r="Y416">
        <v>2</v>
      </c>
      <c r="Z416">
        <v>2018</v>
      </c>
      <c r="AA416" t="s">
        <v>70</v>
      </c>
      <c r="AB416"/>
      <c r="AC416"/>
      <c r="AD416" t="s">
        <v>3235</v>
      </c>
      <c r="AE416">
        <v>6799</v>
      </c>
      <c r="AF416" t="s">
        <v>3236</v>
      </c>
      <c r="AG416"/>
      <c r="AH416"/>
      <c r="AI416">
        <v>67990000</v>
      </c>
      <c r="AJ416" t="s">
        <v>3235</v>
      </c>
      <c r="AK416"/>
      <c r="AL416"/>
      <c r="AM416">
        <v>523910</v>
      </c>
      <c r="AN416" t="s">
        <v>3237</v>
      </c>
      <c r="AO416"/>
      <c r="AP416"/>
      <c r="AQ416" t="s">
        <v>75</v>
      </c>
      <c r="AR416"/>
      <c r="AS416"/>
      <c r="AT416" t="s">
        <v>76</v>
      </c>
      <c r="AU416"/>
      <c r="AV416"/>
      <c r="AW416"/>
      <c r="AX416"/>
      <c r="AY416"/>
      <c r="AZ416"/>
      <c r="BA416"/>
      <c r="BB416"/>
      <c r="BC416"/>
      <c r="BD416"/>
      <c r="BE416"/>
      <c r="BF416">
        <v>0</v>
      </c>
      <c r="BG416">
        <v>0</v>
      </c>
      <c r="BH416" s="4"/>
      <c r="BI416" s="4"/>
      <c r="BJ416" s="4"/>
      <c r="BK416" s="4"/>
      <c r="BL416" s="4"/>
      <c r="BM416" s="4"/>
      <c r="BN416" s="4"/>
      <c r="BO416" s="4"/>
      <c r="BP416" s="4"/>
      <c r="BQ416" s="4"/>
      <c r="BR416" s="4"/>
      <c r="BS416" s="4"/>
      <c r="BT416" s="4"/>
      <c r="BU416" s="4"/>
      <c r="BV416" s="4"/>
      <c r="BW416" s="4"/>
      <c r="BX416" s="4"/>
      <c r="BY416" s="4"/>
      <c r="BZ416" s="4"/>
      <c r="CA416" s="4"/>
      <c r="CB416" s="4"/>
      <c r="CC416" s="4"/>
      <c r="CD416" s="4"/>
      <c r="CE416" s="4"/>
      <c r="CF416" s="4"/>
      <c r="CG416" s="4"/>
      <c r="CH416" s="4"/>
      <c r="CI416" s="4"/>
      <c r="CJ416" s="4"/>
      <c r="CK416" s="19">
        <f>IF(BQ416&gt;0,BQ416,W416)</f>
        <v>80125</v>
      </c>
      <c r="CL416" s="20">
        <f>IF(BS416&gt;0,BS416,Y416)</f>
        <v>2</v>
      </c>
      <c r="CM416" s="34">
        <f>IF(CG416&gt;0,CG416,AM416)</f>
        <v>523910</v>
      </c>
      <c r="CN416" s="80">
        <f>IF($BH416="",1,COUNTIF($BH$3:$BH416,$BH416))</f>
        <v>1</v>
      </c>
      <c r="CO416"/>
      <c r="CP416" t="str">
        <f>IF($K416="Standard Match","Match",IF($K416="Name Only Match",IF($CO416="Yes","Match","Name Only Match"),"No Match"))</f>
        <v>Match</v>
      </c>
      <c r="CQ416" s="35" t="str">
        <f>IF(AND(CP416="Match",CK416&gt;0,CL416&gt;0),"Y","N")</f>
        <v>Y</v>
      </c>
      <c r="CR416"/>
      <c r="CS416" t="str">
        <f>IF($CQ416="Y",VLOOKUP($CM416,'SBA Size Standards'!$B$3:$G$57,MATCH('SBA Size Standards'!$G$3,'SBA Size Standards'!$B$3:$G$3,0),FALSE),"")</f>
        <v>Revenue</v>
      </c>
      <c r="CT416" s="60">
        <f>IF(CQ416="Y",IF($CS416="Employment","N/A",VLOOKUP($CM416,'SBA Size Standards'!$B$3:$G$57,MATCH('SBA Size Standards'!$E$3,'SBA Size Standards'!$B$3:$G$3,0),FALSE)),"")</f>
        <v>41500000</v>
      </c>
      <c r="CU416" s="86" t="str">
        <f>IF($CQ416="Y",IF($CS416="Revenue","N/A",VLOOKUP($CM416,'SBA Size Standards'!$B$3:$G$57,MATCH('SBA Size Standards'!$F$3,'SBA Size Standards'!$B$3:$G$3,0),FALSE)),"")</f>
        <v>N/A</v>
      </c>
      <c r="CV416" t="str">
        <f>IF($CQ416="Y",IF(OR(AND($CS416="Employment",$CL416&lt;$CU416),AND($CS416="Revenue",$CK416&lt;$CT416)),"YES","NO"),"")</f>
        <v>YES</v>
      </c>
      <c r="CW416" s="90" t="str">
        <f>IF($CQ416="Y",INDEX('SBA Size Standards'!$N$3:$N$12,MATCH($CK416,'SBA Size Standards'!$O$3:$O$12,1)),"")</f>
        <v>$50,001 - $100,000</v>
      </c>
      <c r="CX416" s="122" t="s">
        <v>4910</v>
      </c>
      <c r="CY416" s="122">
        <f>INDEX('NM O&amp;G Production'!$P$3:$P$537,MATCH(CX416,'NM O&amp;G Production'!$Q$3:$Q$537,0))</f>
        <v>475</v>
      </c>
      <c r="CZ416" s="122" t="str">
        <f>INDEX('NM O&amp;G Production'!$O$3:$O$537,MATCH(CY416,'NM O&amp;G Production'!$P$3:$P$537,0))</f>
        <v>Yes</v>
      </c>
      <c r="DA416" s="127">
        <f>INDEX('NM O&amp;G Production'!$K$3:$O$537,MATCH($CY416,'NM O&amp;G Production'!$P$3:$P$537,0),MATCH(DA$2,'NM O&amp;G Production'!$K$2:$O$2,0))</f>
        <v>4</v>
      </c>
      <c r="DB416" s="127">
        <f>INDEX('NM O&amp;G Production'!$K$3:$O$537,MATCH($CY416,'NM O&amp;G Production'!$P$3:$P$537,0),MATCH(DB$2,'NM O&amp;G Production'!$K$2:$O$2,0))</f>
        <v>21</v>
      </c>
      <c r="DC416" s="127">
        <f>DA416+DB416</f>
        <v>25</v>
      </c>
      <c r="DD416" s="127">
        <f>INDEX('NM O&amp;G Production'!$K$3:$O$537,MATCH($CY416,'NM O&amp;G Production'!$P$3:$P$537,0),MATCH(DD$2,'NM O&amp;G Production'!$K$2:$O$2,0))</f>
        <v>125504</v>
      </c>
      <c r="DE416" s="127">
        <f>INDEX('NM O&amp;G Production'!$K$3:$O$537,MATCH($CY416,'NM O&amp;G Production'!$P$3:$P$537,0),MATCH(DE$2,'NM O&amp;G Production'!$K$2:$O$2,0))</f>
        <v>19258</v>
      </c>
      <c r="DF416" s="258">
        <f>CK416/(DB416+DA416)</f>
        <v>3205</v>
      </c>
      <c r="DG416" s="57">
        <f>DD416*(12/18)*1.06*'Oil and Gas Prices'!$C$18</f>
        <v>211967.88906666668</v>
      </c>
      <c r="DH416" s="284">
        <f>DE416*(12/18)*'Oil and Gas Prices'!$C$4</f>
        <v>577740</v>
      </c>
      <c r="DI416" s="284">
        <f>DG416+DH416</f>
        <v>789707.88906666671</v>
      </c>
      <c r="DJ416" s="57">
        <f>(DG416+DH416)/(DA416+DB416)</f>
        <v>31588.31556266667</v>
      </c>
      <c r="DK416" s="318"/>
    </row>
    <row r="417" spans="1:115" x14ac:dyDescent="0.25">
      <c r="A417" t="s">
        <v>2993</v>
      </c>
      <c r="B417" t="s">
        <v>1623</v>
      </c>
      <c r="D417" t="s">
        <v>123</v>
      </c>
      <c r="E417" t="s">
        <v>84</v>
      </c>
      <c r="F417">
        <v>87402</v>
      </c>
      <c r="G417" t="s">
        <v>62</v>
      </c>
      <c r="I417">
        <v>436</v>
      </c>
      <c r="J417" t="s">
        <v>404</v>
      </c>
      <c r="K417" t="s">
        <v>4133</v>
      </c>
      <c r="L417" t="s">
        <v>64</v>
      </c>
      <c r="M417">
        <v>10</v>
      </c>
      <c r="N417" t="s">
        <v>2994</v>
      </c>
      <c r="O417" t="s">
        <v>2995</v>
      </c>
      <c r="Q417" t="s">
        <v>1623</v>
      </c>
      <c r="R417" t="s">
        <v>123</v>
      </c>
      <c r="S417" t="s">
        <v>214</v>
      </c>
      <c r="T417" t="s">
        <v>1984</v>
      </c>
      <c r="U417" t="s">
        <v>62</v>
      </c>
      <c r="W417" s="1">
        <v>76517</v>
      </c>
      <c r="X417">
        <v>2</v>
      </c>
      <c r="Y417">
        <v>2</v>
      </c>
      <c r="AA417" t="s">
        <v>70</v>
      </c>
      <c r="AD417" t="s">
        <v>71</v>
      </c>
      <c r="AE417">
        <v>1389</v>
      </c>
      <c r="AF417" t="s">
        <v>72</v>
      </c>
      <c r="AI417">
        <v>13890000</v>
      </c>
      <c r="AJ417" t="s">
        <v>73</v>
      </c>
      <c r="AM417">
        <v>213112</v>
      </c>
      <c r="AN417" t="s">
        <v>74</v>
      </c>
      <c r="AQ417" t="s">
        <v>75</v>
      </c>
      <c r="AT417" t="s">
        <v>76</v>
      </c>
      <c r="BF417">
        <v>0</v>
      </c>
      <c r="BG417">
        <v>0</v>
      </c>
      <c r="CK417" s="19">
        <f>IF(BQ417&gt;0,BQ417,W417)</f>
        <v>76517</v>
      </c>
      <c r="CL417" s="20">
        <f>IF(BS417&gt;0,BS417,Y417)</f>
        <v>2</v>
      </c>
      <c r="CM417" s="34">
        <f>IF(CG417&gt;0,CG417,AM417)</f>
        <v>213112</v>
      </c>
      <c r="CN417" s="80">
        <f>IF($BH417="",1,COUNTIF($BH$3:$BH417,$BH417))</f>
        <v>1</v>
      </c>
      <c r="CP417" t="str">
        <f>IF($K417="Standard Match","Match",IF($K417="Name Only Match",IF($CO417="Yes","Match","Name Only Match"),"No Match"))</f>
        <v>Match</v>
      </c>
      <c r="CQ417" s="35" t="str">
        <f>IF(AND(CP417="Match",CK417&gt;0,CL417&gt;0),"Y","N")</f>
        <v>Y</v>
      </c>
      <c r="CS417" t="str">
        <f>IF($CQ417="Y",VLOOKUP($CM417,'SBA Size Standards'!$B$3:$G$57,MATCH('SBA Size Standards'!$G$3,'SBA Size Standards'!$B$3:$G$3,0),FALSE),"")</f>
        <v>Revenue</v>
      </c>
      <c r="CT417" s="60">
        <f>IF(CQ417="Y",IF($CS417="Employment","N/A",VLOOKUP($CM417,'SBA Size Standards'!$B$3:$G$57,MATCH('SBA Size Standards'!$E$3,'SBA Size Standards'!$B$3:$G$3,0),FALSE)),"")</f>
        <v>41500000</v>
      </c>
      <c r="CU417" s="86" t="str">
        <f>IF($CQ417="Y",IF($CS417="Revenue","N/A",VLOOKUP($CM417,'SBA Size Standards'!$B$3:$G$57,MATCH('SBA Size Standards'!$F$3,'SBA Size Standards'!$B$3:$G$3,0),FALSE)),"")</f>
        <v>N/A</v>
      </c>
      <c r="CV417" t="str">
        <f>IF($CQ417="Y",IF(OR(AND($CS417="Employment",$CL417&lt;$CU417),AND($CS417="Revenue",$CK417&lt;$CT417)),"YES","NO"),"")</f>
        <v>YES</v>
      </c>
      <c r="CW417" s="90" t="str">
        <f>IF($CQ417="Y",INDEX('SBA Size Standards'!$N$3:$N$12,MATCH($CK417,'SBA Size Standards'!$O$3:$O$12,1)),"")</f>
        <v>$50,001 - $100,000</v>
      </c>
      <c r="CX417" s="122" t="s">
        <v>4744</v>
      </c>
      <c r="CY417" s="122">
        <f>INDEX('NM O&amp;G Production'!$P$3:$P$537,MATCH(CX417,'NM O&amp;G Production'!$Q$3:$Q$537,0))</f>
        <v>436</v>
      </c>
      <c r="CZ417" s="122" t="str">
        <f>INDEX('NM O&amp;G Production'!$O$3:$O$537,MATCH(CY417,'NM O&amp;G Production'!$P$3:$P$537,0))</f>
        <v>Yes</v>
      </c>
      <c r="DA417" s="127">
        <f>INDEX('NM O&amp;G Production'!$K$3:$O$537,MATCH($CY417,'NM O&amp;G Production'!$P$3:$P$537,0),MATCH(DA$2,'NM O&amp;G Production'!$K$2:$O$2,0))</f>
        <v>0</v>
      </c>
      <c r="DB417" s="127">
        <f>INDEX('NM O&amp;G Production'!$K$3:$O$537,MATCH($CY417,'NM O&amp;G Production'!$P$3:$P$537,0),MATCH(DB$2,'NM O&amp;G Production'!$K$2:$O$2,0))</f>
        <v>12</v>
      </c>
      <c r="DC417" s="127">
        <f>DA417+DB417</f>
        <v>12</v>
      </c>
      <c r="DD417" s="127">
        <f>INDEX('NM O&amp;G Production'!$K$3:$O$537,MATCH($CY417,'NM O&amp;G Production'!$P$3:$P$537,0),MATCH(DD$2,'NM O&amp;G Production'!$K$2:$O$2,0))</f>
        <v>19542</v>
      </c>
      <c r="DE417" s="127">
        <f>INDEX('NM O&amp;G Production'!$K$3:$O$537,MATCH($CY417,'NM O&amp;G Production'!$P$3:$P$537,0),MATCH(DE$2,'NM O&amp;G Production'!$K$2:$O$2,0))</f>
        <v>0</v>
      </c>
      <c r="DF417" s="258">
        <f>CK417/(DB417+DA417)</f>
        <v>6376.416666666667</v>
      </c>
      <c r="DG417" s="57">
        <f>DD417*(12/18)*1.06*'Oil and Gas Prices'!$C$18</f>
        <v>33005.135200000004</v>
      </c>
      <c r="DH417" s="284">
        <f>DE417*(12/18)*'Oil and Gas Prices'!$C$4</f>
        <v>0</v>
      </c>
      <c r="DI417" s="284">
        <f>DG417+DH417</f>
        <v>33005.135200000004</v>
      </c>
      <c r="DJ417" s="57">
        <f>(DG417+DH417)/(DA417+DB417)</f>
        <v>2750.4279333333338</v>
      </c>
      <c r="DK417" s="318"/>
    </row>
    <row r="418" spans="1:115" x14ac:dyDescent="0.25">
      <c r="A418" t="s">
        <v>1357</v>
      </c>
      <c r="B418" t="s">
        <v>1358</v>
      </c>
      <c r="D418" t="s">
        <v>1359</v>
      </c>
      <c r="E418" t="s">
        <v>84</v>
      </c>
      <c r="F418">
        <v>88253</v>
      </c>
      <c r="G418" t="s">
        <v>62</v>
      </c>
      <c r="I418">
        <v>179</v>
      </c>
      <c r="J418" t="s">
        <v>63</v>
      </c>
      <c r="K418" t="s">
        <v>4134</v>
      </c>
      <c r="L418" t="s">
        <v>3627</v>
      </c>
      <c r="M418">
        <v>8</v>
      </c>
      <c r="N418" t="s">
        <v>4105</v>
      </c>
      <c r="O418" s="21" t="s">
        <v>4106</v>
      </c>
      <c r="Q418" t="s">
        <v>4107</v>
      </c>
      <c r="R418" t="s">
        <v>4108</v>
      </c>
      <c r="S418" t="s">
        <v>4109</v>
      </c>
      <c r="T418" t="s">
        <v>4110</v>
      </c>
      <c r="U418" t="s">
        <v>62</v>
      </c>
      <c r="V418">
        <v>6517881710</v>
      </c>
      <c r="W418" s="1">
        <v>72578</v>
      </c>
      <c r="X418">
        <v>2</v>
      </c>
      <c r="Y418">
        <v>2</v>
      </c>
      <c r="Z418">
        <v>2007</v>
      </c>
      <c r="AA418" t="s">
        <v>70</v>
      </c>
      <c r="AB418" t="s">
        <v>4111</v>
      </c>
      <c r="AC418" t="s">
        <v>231</v>
      </c>
      <c r="AD418" t="s">
        <v>1235</v>
      </c>
      <c r="AE418">
        <v>4911</v>
      </c>
      <c r="AF418" t="s">
        <v>1236</v>
      </c>
      <c r="AI418">
        <v>49110000</v>
      </c>
      <c r="AJ418" t="s">
        <v>1237</v>
      </c>
      <c r="AM418">
        <v>221118</v>
      </c>
      <c r="AN418" t="s">
        <v>1238</v>
      </c>
      <c r="AQ418" t="s">
        <v>75</v>
      </c>
      <c r="AT418" t="s">
        <v>76</v>
      </c>
      <c r="BF418">
        <v>0</v>
      </c>
      <c r="BG418">
        <v>0</v>
      </c>
      <c r="CK418" s="19">
        <f>IF(BQ418&gt;0,BQ418,W418)</f>
        <v>72578</v>
      </c>
      <c r="CL418" s="20">
        <f>IF(BS418&gt;0,BS418,Y418)</f>
        <v>2</v>
      </c>
      <c r="CM418" s="34">
        <f>IF(CG418&gt;0,CG418,AM418)</f>
        <v>221118</v>
      </c>
      <c r="CN418" s="80">
        <f>IF($BH418="",1,COUNTIF($BH$3:$BH418,$BH418))</f>
        <v>1</v>
      </c>
      <c r="CO418" s="33" t="s">
        <v>4386</v>
      </c>
      <c r="CP418" t="str">
        <f>IF($K418="Standard Match","Match",IF($K418="Name Only Match",IF($CO418="Yes","Match","Name Only Match"),"No Match"))</f>
        <v>Match</v>
      </c>
      <c r="CQ418" s="35" t="str">
        <f>IF(AND(CP418="Match",CK418&gt;0,CL418&gt;0),"Y","N")</f>
        <v>Y</v>
      </c>
      <c r="CS418" t="str">
        <f>IF($CQ418="Y",VLOOKUP($CM418,'SBA Size Standards'!$B$3:$G$57,MATCH('SBA Size Standards'!$G$3,'SBA Size Standards'!$B$3:$G$3,0),FALSE),"")</f>
        <v>Employment</v>
      </c>
      <c r="CT418" s="60" t="str">
        <f>IF(CQ418="Y",IF($CS418="Employment","N/A",VLOOKUP($CM418,'SBA Size Standards'!$B$3:$G$57,MATCH('SBA Size Standards'!$E$3,'SBA Size Standards'!$B$3:$G$3,0),FALSE)),"")</f>
        <v>N/A</v>
      </c>
      <c r="CU418" s="86">
        <f>IF($CQ418="Y",IF($CS418="Revenue","N/A",VLOOKUP($CM418,'SBA Size Standards'!$B$3:$G$57,MATCH('SBA Size Standards'!$F$3,'SBA Size Standards'!$B$3:$G$3,0),FALSE)),"")</f>
        <v>250</v>
      </c>
      <c r="CV418" t="str">
        <f>IF($CQ418="Y",IF(OR(AND($CS418="Employment",$CL418&lt;$CU418),AND($CS418="Revenue",$CK418&lt;$CT418)),"YES","NO"),"")</f>
        <v>YES</v>
      </c>
      <c r="CW418" s="90" t="str">
        <f>IF($CQ418="Y",INDEX('SBA Size Standards'!$N$3:$N$12,MATCH($CK418,'SBA Size Standards'!$O$3:$O$12,1)),"")</f>
        <v>$50,001 - $100,000</v>
      </c>
      <c r="CX418" s="122" t="s">
        <v>4960</v>
      </c>
      <c r="CY418" s="122">
        <f>INDEX('NM O&amp;G Production'!$P$3:$P$537,MATCH(CX418,'NM O&amp;G Production'!$Q$3:$Q$537,0))</f>
        <v>179</v>
      </c>
      <c r="CZ418" s="122" t="str">
        <f>INDEX('NM O&amp;G Production'!$O$3:$O$537,MATCH(CY418,'NM O&amp;G Production'!$P$3:$P$537,0))</f>
        <v>Yes</v>
      </c>
      <c r="DA418" s="127">
        <f>INDEX('NM O&amp;G Production'!$K$3:$O$537,MATCH($CY418,'NM O&amp;G Production'!$P$3:$P$537,0),MATCH(DA$2,'NM O&amp;G Production'!$K$2:$O$2,0))</f>
        <v>1</v>
      </c>
      <c r="DB418" s="127">
        <f>INDEX('NM O&amp;G Production'!$K$3:$O$537,MATCH($CY418,'NM O&amp;G Production'!$P$3:$P$537,0),MATCH(DB$2,'NM O&amp;G Production'!$K$2:$O$2,0))</f>
        <v>20</v>
      </c>
      <c r="DC418" s="127">
        <f>DA418+DB418</f>
        <v>21</v>
      </c>
      <c r="DD418" s="127">
        <f>INDEX('NM O&amp;G Production'!$K$3:$O$537,MATCH($CY418,'NM O&amp;G Production'!$P$3:$P$537,0),MATCH(DD$2,'NM O&amp;G Production'!$K$2:$O$2,0))</f>
        <v>0</v>
      </c>
      <c r="DE418" s="127">
        <f>INDEX('NM O&amp;G Production'!$K$3:$O$537,MATCH($CY418,'NM O&amp;G Production'!$P$3:$P$537,0),MATCH(DE$2,'NM O&amp;G Production'!$K$2:$O$2,0))</f>
        <v>2468</v>
      </c>
      <c r="DF418" s="258">
        <f>CK418/(DB418+DA418)</f>
        <v>3456.0952380952381</v>
      </c>
      <c r="DG418" s="57">
        <f>DD418*(12/18)*1.06*'Oil and Gas Prices'!$C$18</f>
        <v>0</v>
      </c>
      <c r="DH418" s="284">
        <f>DE418*(12/18)*'Oil and Gas Prices'!$C$4</f>
        <v>74040</v>
      </c>
      <c r="DI418" s="284">
        <f>DG418+DH418</f>
        <v>74040</v>
      </c>
      <c r="DJ418" s="57">
        <f>(DG418+DH418)/(DA418+DB418)</f>
        <v>3525.7142857142858</v>
      </c>
      <c r="DK418" s="318"/>
    </row>
    <row r="419" spans="1:115" s="21" customFormat="1" x14ac:dyDescent="0.25">
      <c r="A419" t="s">
        <v>2172</v>
      </c>
      <c r="B419" t="s">
        <v>2173</v>
      </c>
      <c r="C419"/>
      <c r="D419" t="s">
        <v>1073</v>
      </c>
      <c r="E419" t="s">
        <v>84</v>
      </c>
      <c r="F419" t="s">
        <v>2174</v>
      </c>
      <c r="G419" t="s">
        <v>62</v>
      </c>
      <c r="H419"/>
      <c r="I419">
        <v>307</v>
      </c>
      <c r="J419" t="s">
        <v>404</v>
      </c>
      <c r="K419" t="s">
        <v>4133</v>
      </c>
      <c r="L419" t="s">
        <v>279</v>
      </c>
      <c r="M419">
        <v>8</v>
      </c>
      <c r="N419" t="s">
        <v>2175</v>
      </c>
      <c r="O419" t="s">
        <v>2176</v>
      </c>
      <c r="P419"/>
      <c r="Q419" t="s">
        <v>2177</v>
      </c>
      <c r="R419" t="s">
        <v>1073</v>
      </c>
      <c r="S419" t="s">
        <v>214</v>
      </c>
      <c r="T419" t="s">
        <v>2178</v>
      </c>
      <c r="U419" t="s">
        <v>62</v>
      </c>
      <c r="V419"/>
      <c r="W419" s="1">
        <v>69000</v>
      </c>
      <c r="X419">
        <v>1</v>
      </c>
      <c r="Y419">
        <v>1</v>
      </c>
      <c r="Z419"/>
      <c r="AA419" t="s">
        <v>70</v>
      </c>
      <c r="AB419" t="s">
        <v>2179</v>
      </c>
      <c r="AC419" t="s">
        <v>231</v>
      </c>
      <c r="AD419" t="s">
        <v>1300</v>
      </c>
      <c r="AE419">
        <v>7389</v>
      </c>
      <c r="AF419" t="s">
        <v>1301</v>
      </c>
      <c r="AG419"/>
      <c r="AH419"/>
      <c r="AI419">
        <v>73899999</v>
      </c>
      <c r="AJ419" t="s">
        <v>1935</v>
      </c>
      <c r="AK419"/>
      <c r="AL419"/>
      <c r="AM419">
        <v>561990</v>
      </c>
      <c r="AN419" t="s">
        <v>1936</v>
      </c>
      <c r="AO419"/>
      <c r="AP419"/>
      <c r="AQ419" t="s">
        <v>75</v>
      </c>
      <c r="AR419"/>
      <c r="AS419"/>
      <c r="AT419" t="s">
        <v>76</v>
      </c>
      <c r="AU419"/>
      <c r="AV419"/>
      <c r="AW419"/>
      <c r="AX419"/>
      <c r="AY419"/>
      <c r="AZ419"/>
      <c r="BA419"/>
      <c r="BB419"/>
      <c r="BC419"/>
      <c r="BD419"/>
      <c r="BE419"/>
      <c r="BF419">
        <v>0</v>
      </c>
      <c r="BG419">
        <v>0</v>
      </c>
      <c r="BH419" s="4"/>
      <c r="BI419" s="4"/>
      <c r="BJ419" s="4"/>
      <c r="BK419" s="4"/>
      <c r="BL419" s="4"/>
      <c r="BM419" s="4"/>
      <c r="BN419" s="4"/>
      <c r="BO419" s="4"/>
      <c r="BP419" s="4"/>
      <c r="BQ419" s="4"/>
      <c r="BR419" s="4"/>
      <c r="BS419" s="4"/>
      <c r="BT419" s="4"/>
      <c r="BU419" s="4"/>
      <c r="BV419" s="4"/>
      <c r="BW419" s="4"/>
      <c r="BX419" s="4"/>
      <c r="BY419" s="4"/>
      <c r="BZ419" s="4"/>
      <c r="CA419" s="4"/>
      <c r="CB419" s="4"/>
      <c r="CC419" s="4"/>
      <c r="CD419" s="4"/>
      <c r="CE419" s="4"/>
      <c r="CF419" s="4"/>
      <c r="CG419" s="4"/>
      <c r="CH419" s="4"/>
      <c r="CI419" s="4"/>
      <c r="CJ419" s="4"/>
      <c r="CK419" s="19">
        <f>IF(BQ419&gt;0,BQ419,W419)</f>
        <v>69000</v>
      </c>
      <c r="CL419" s="20">
        <f>IF(BS419&gt;0,BS419,Y419)</f>
        <v>1</v>
      </c>
      <c r="CM419" s="34">
        <f>IF(CG419&gt;0,CG419,AM419)</f>
        <v>561990</v>
      </c>
      <c r="CN419" s="80">
        <f>IF($BH419="",1,COUNTIF($BH$3:$BH419,$BH419))</f>
        <v>1</v>
      </c>
      <c r="CO419"/>
      <c r="CP419" t="str">
        <f>IF($K419="Standard Match","Match",IF($K419="Name Only Match",IF($CO419="Yes","Match","Name Only Match"),"No Match"))</f>
        <v>Match</v>
      </c>
      <c r="CQ419" s="35" t="str">
        <f>IF(AND(CP419="Match",CK419&gt;0,CL419&gt;0),"Y","N")</f>
        <v>Y</v>
      </c>
      <c r="CR419"/>
      <c r="CS419" t="str">
        <f>IF($CQ419="Y",VLOOKUP($CM419,'SBA Size Standards'!$B$3:$G$57,MATCH('SBA Size Standards'!$G$3,'SBA Size Standards'!$B$3:$G$3,0),FALSE),"")</f>
        <v>Revenue</v>
      </c>
      <c r="CT419" s="60">
        <f>IF(CQ419="Y",IF($CS419="Employment","N/A",VLOOKUP($CM419,'SBA Size Standards'!$B$3:$G$57,MATCH('SBA Size Standards'!$E$3,'SBA Size Standards'!$B$3:$G$3,0),FALSE)),"")</f>
        <v>12000000</v>
      </c>
      <c r="CU419" s="86" t="str">
        <f>IF($CQ419="Y",IF($CS419="Revenue","N/A",VLOOKUP($CM419,'SBA Size Standards'!$B$3:$G$57,MATCH('SBA Size Standards'!$F$3,'SBA Size Standards'!$B$3:$G$3,0),FALSE)),"")</f>
        <v>N/A</v>
      </c>
      <c r="CV419" t="str">
        <f>IF($CQ419="Y",IF(OR(AND($CS419="Employment",$CL419&lt;$CU419),AND($CS419="Revenue",$CK419&lt;$CT419)),"YES","NO"),"")</f>
        <v>YES</v>
      </c>
      <c r="CW419" s="90" t="str">
        <f>IF($CQ419="Y",INDEX('SBA Size Standards'!$N$3:$N$12,MATCH($CK419,'SBA Size Standards'!$O$3:$O$12,1)),"")</f>
        <v>$50,001 - $100,000</v>
      </c>
      <c r="CX419" s="122" t="s">
        <v>4869</v>
      </c>
      <c r="CY419" s="122">
        <f>INDEX('NM O&amp;G Production'!$P$3:$P$537,MATCH(CX419,'NM O&amp;G Production'!$Q$3:$Q$537,0))</f>
        <v>307</v>
      </c>
      <c r="CZ419" s="122" t="str">
        <f>INDEX('NM O&amp;G Production'!$O$3:$O$537,MATCH(CY419,'NM O&amp;G Production'!$P$3:$P$537,0))</f>
        <v>Yes</v>
      </c>
      <c r="DA419" s="127">
        <f>INDEX('NM O&amp;G Production'!$K$3:$O$537,MATCH($CY419,'NM O&amp;G Production'!$P$3:$P$537,0),MATCH(DA$2,'NM O&amp;G Production'!$K$2:$O$2,0))</f>
        <v>0</v>
      </c>
      <c r="DB419" s="127">
        <f>INDEX('NM O&amp;G Production'!$K$3:$O$537,MATCH($CY419,'NM O&amp;G Production'!$P$3:$P$537,0),MATCH(DB$2,'NM O&amp;G Production'!$K$2:$O$2,0))</f>
        <v>1</v>
      </c>
      <c r="DC419" s="127">
        <f>DA419+DB419</f>
        <v>1</v>
      </c>
      <c r="DD419" s="127">
        <f>INDEX('NM O&amp;G Production'!$K$3:$O$537,MATCH($CY419,'NM O&amp;G Production'!$P$3:$P$537,0),MATCH(DD$2,'NM O&amp;G Production'!$K$2:$O$2,0))</f>
        <v>18406</v>
      </c>
      <c r="DE419" s="127">
        <f>INDEX('NM O&amp;G Production'!$K$3:$O$537,MATCH($CY419,'NM O&amp;G Production'!$P$3:$P$537,0),MATCH(DE$2,'NM O&amp;G Production'!$K$2:$O$2,0))</f>
        <v>0</v>
      </c>
      <c r="DF419" s="258">
        <f>CK419/(DB419+DA419)</f>
        <v>69000</v>
      </c>
      <c r="DG419" s="57">
        <f>DD419*(12/18)*1.06*'Oil and Gas Prices'!$C$18</f>
        <v>31086.506933333334</v>
      </c>
      <c r="DH419" s="284">
        <f>DE419*(12/18)*'Oil and Gas Prices'!$C$4</f>
        <v>0</v>
      </c>
      <c r="DI419" s="284">
        <f>DG419+DH419</f>
        <v>31086.506933333334</v>
      </c>
      <c r="DJ419" s="57">
        <f>(DG419+DH419)/(DA419+DB419)</f>
        <v>31086.506933333334</v>
      </c>
      <c r="DK419" s="319"/>
    </row>
    <row r="420" spans="1:115" s="21" customFormat="1" x14ac:dyDescent="0.25">
      <c r="A420" t="s">
        <v>1856</v>
      </c>
      <c r="B420" t="s">
        <v>1857</v>
      </c>
      <c r="C420"/>
      <c r="D420" t="s">
        <v>112</v>
      </c>
      <c r="E420" t="s">
        <v>80</v>
      </c>
      <c r="F420">
        <v>77042</v>
      </c>
      <c r="G420" t="s">
        <v>62</v>
      </c>
      <c r="H420"/>
      <c r="I420">
        <v>255</v>
      </c>
      <c r="J420" t="s">
        <v>63</v>
      </c>
      <c r="K420" t="s">
        <v>4133</v>
      </c>
      <c r="L420" t="s">
        <v>113</v>
      </c>
      <c r="M420">
        <v>8</v>
      </c>
      <c r="N420" t="s">
        <v>1858</v>
      </c>
      <c r="O420" t="s">
        <v>1859</v>
      </c>
      <c r="P420"/>
      <c r="Q420" t="s">
        <v>1860</v>
      </c>
      <c r="R420" t="s">
        <v>112</v>
      </c>
      <c r="S420" t="s">
        <v>94</v>
      </c>
      <c r="T420" t="s">
        <v>1861</v>
      </c>
      <c r="U420" t="s">
        <v>62</v>
      </c>
      <c r="V420"/>
      <c r="W420" s="1">
        <v>68304</v>
      </c>
      <c r="X420">
        <v>2</v>
      </c>
      <c r="Y420">
        <v>2</v>
      </c>
      <c r="Z420">
        <v>2016</v>
      </c>
      <c r="AA420" t="s">
        <v>70</v>
      </c>
      <c r="AB420" t="s">
        <v>1862</v>
      </c>
      <c r="AC420" t="s">
        <v>231</v>
      </c>
      <c r="AD420" t="s">
        <v>352</v>
      </c>
      <c r="AE420">
        <v>6531</v>
      </c>
      <c r="AF420" t="s">
        <v>353</v>
      </c>
      <c r="AG420"/>
      <c r="AH420"/>
      <c r="AI420">
        <v>65310100</v>
      </c>
      <c r="AJ420" t="s">
        <v>1863</v>
      </c>
      <c r="AK420"/>
      <c r="AL420"/>
      <c r="AM420">
        <v>531210</v>
      </c>
      <c r="AN420" t="s">
        <v>354</v>
      </c>
      <c r="AO420"/>
      <c r="AP420"/>
      <c r="AQ420" t="s">
        <v>75</v>
      </c>
      <c r="AR420"/>
      <c r="AS420"/>
      <c r="AT420" t="s">
        <v>76</v>
      </c>
      <c r="AU420"/>
      <c r="AV420"/>
      <c r="AW420"/>
      <c r="AX420"/>
      <c r="AY420"/>
      <c r="AZ420"/>
      <c r="BA420"/>
      <c r="BB420"/>
      <c r="BC420"/>
      <c r="BD420"/>
      <c r="BE420"/>
      <c r="BF420">
        <v>0</v>
      </c>
      <c r="BG420">
        <v>0</v>
      </c>
      <c r="BH420" s="4"/>
      <c r="BI420" s="4"/>
      <c r="BJ420" s="4"/>
      <c r="BK420" s="4"/>
      <c r="BL420" s="4"/>
      <c r="BM420" s="4"/>
      <c r="BN420" s="4"/>
      <c r="BO420" s="4"/>
      <c r="BP420" s="4"/>
      <c r="BQ420" s="4"/>
      <c r="BR420" s="4"/>
      <c r="BS420" s="4"/>
      <c r="BT420" s="4"/>
      <c r="BU420" s="4"/>
      <c r="BV420" s="4"/>
      <c r="BW420" s="4"/>
      <c r="BX420" s="4"/>
      <c r="BY420" s="4"/>
      <c r="BZ420" s="4"/>
      <c r="CA420" s="4"/>
      <c r="CB420" s="4"/>
      <c r="CC420" s="4"/>
      <c r="CD420" s="4"/>
      <c r="CE420" s="4"/>
      <c r="CF420" s="4"/>
      <c r="CG420" s="4"/>
      <c r="CH420" s="4"/>
      <c r="CI420" s="4"/>
      <c r="CJ420" s="4"/>
      <c r="CK420" s="19">
        <f>IF(BQ420&gt;0,BQ420,W420)</f>
        <v>68304</v>
      </c>
      <c r="CL420" s="20">
        <f>IF(BS420&gt;0,BS420,Y420)</f>
        <v>2</v>
      </c>
      <c r="CM420" s="34">
        <f>IF(CG420&gt;0,CG420,AM420)</f>
        <v>531210</v>
      </c>
      <c r="CN420" s="80">
        <f>IF($BH420="",1,COUNTIF($BH$3:$BH420,$BH420))</f>
        <v>1</v>
      </c>
      <c r="CO420"/>
      <c r="CP420" t="str">
        <f>IF($K420="Standard Match","Match",IF($K420="Name Only Match",IF($CO420="Yes","Match","Name Only Match"),"No Match"))</f>
        <v>Match</v>
      </c>
      <c r="CQ420" s="35" t="str">
        <f>IF(AND(CP420="Match",CK420&gt;0,CL420&gt;0),"Y","N")</f>
        <v>Y</v>
      </c>
      <c r="CR420"/>
      <c r="CS420" t="str">
        <f>IF($CQ420="Y",VLOOKUP($CM420,'SBA Size Standards'!$B$3:$G$57,MATCH('SBA Size Standards'!$G$3,'SBA Size Standards'!$B$3:$G$3,0),FALSE),"")</f>
        <v>Revenue</v>
      </c>
      <c r="CT420" s="60">
        <f>IF(CQ420="Y",IF($CS420="Employment","N/A",VLOOKUP($CM420,'SBA Size Standards'!$B$3:$G$57,MATCH('SBA Size Standards'!$E$3,'SBA Size Standards'!$B$3:$G$3,0),FALSE)),"")</f>
        <v>8000000</v>
      </c>
      <c r="CU420" s="86" t="str">
        <f>IF($CQ420="Y",IF($CS420="Revenue","N/A",VLOOKUP($CM420,'SBA Size Standards'!$B$3:$G$57,MATCH('SBA Size Standards'!$F$3,'SBA Size Standards'!$B$3:$G$3,0),FALSE)),"")</f>
        <v>N/A</v>
      </c>
      <c r="CV420" t="str">
        <f>IF($CQ420="Y",IF(OR(AND($CS420="Employment",$CL420&lt;$CU420),AND($CS420="Revenue",$CK420&lt;$CT420)),"YES","NO"),"")</f>
        <v>YES</v>
      </c>
      <c r="CW420" s="90" t="str">
        <f>IF($CQ420="Y",INDEX('SBA Size Standards'!$N$3:$N$12,MATCH($CK420,'SBA Size Standards'!$O$3:$O$12,1)),"")</f>
        <v>$50,001 - $100,000</v>
      </c>
      <c r="CX420" s="122" t="s">
        <v>4858</v>
      </c>
      <c r="CY420" s="122">
        <f>INDEX('NM O&amp;G Production'!$P$3:$P$537,MATCH(CX420,'NM O&amp;G Production'!$Q$3:$Q$537,0))</f>
        <v>255</v>
      </c>
      <c r="CZ420" s="122" t="str">
        <f>INDEX('NM O&amp;G Production'!$O$3:$O$537,MATCH(CY420,'NM O&amp;G Production'!$P$3:$P$537,0))</f>
        <v>Yes</v>
      </c>
      <c r="DA420" s="127">
        <f>INDEX('NM O&amp;G Production'!$K$3:$O$537,MATCH($CY420,'NM O&amp;G Production'!$P$3:$P$537,0),MATCH(DA$2,'NM O&amp;G Production'!$K$2:$O$2,0))</f>
        <v>2</v>
      </c>
      <c r="DB420" s="127">
        <f>INDEX('NM O&amp;G Production'!$K$3:$O$537,MATCH($CY420,'NM O&amp;G Production'!$P$3:$P$537,0),MATCH(DB$2,'NM O&amp;G Production'!$K$2:$O$2,0))</f>
        <v>19</v>
      </c>
      <c r="DC420" s="127">
        <f>DA420+DB420</f>
        <v>21</v>
      </c>
      <c r="DD420" s="127">
        <f>INDEX('NM O&amp;G Production'!$K$3:$O$537,MATCH($CY420,'NM O&amp;G Production'!$P$3:$P$537,0),MATCH(DD$2,'NM O&amp;G Production'!$K$2:$O$2,0))</f>
        <v>0</v>
      </c>
      <c r="DE420" s="127">
        <f>INDEX('NM O&amp;G Production'!$K$3:$O$537,MATCH($CY420,'NM O&amp;G Production'!$P$3:$P$537,0),MATCH(DE$2,'NM O&amp;G Production'!$K$2:$O$2,0))</f>
        <v>3665</v>
      </c>
      <c r="DF420" s="258">
        <f>CK420/(DB420+DA420)</f>
        <v>3252.5714285714284</v>
      </c>
      <c r="DG420" s="57">
        <f>DD420*(12/18)*1.06*'Oil and Gas Prices'!$C$18</f>
        <v>0</v>
      </c>
      <c r="DH420" s="284">
        <f>DE420*(12/18)*'Oil and Gas Prices'!$C$4</f>
        <v>109949.99999999999</v>
      </c>
      <c r="DI420" s="284">
        <f>DG420+DH420</f>
        <v>109949.99999999999</v>
      </c>
      <c r="DJ420" s="57">
        <f>(DG420+DH420)/(DA420+DB420)</f>
        <v>5235.7142857142853</v>
      </c>
      <c r="DK420" s="318"/>
    </row>
    <row r="421" spans="1:115" s="21" customFormat="1" x14ac:dyDescent="0.25">
      <c r="A421" t="s">
        <v>552</v>
      </c>
      <c r="B421" t="s">
        <v>553</v>
      </c>
      <c r="C421"/>
      <c r="D421" t="s">
        <v>153</v>
      </c>
      <c r="E421" t="s">
        <v>80</v>
      </c>
      <c r="F421">
        <v>79701</v>
      </c>
      <c r="G421" t="s">
        <v>62</v>
      </c>
      <c r="H421"/>
      <c r="I421">
        <v>68</v>
      </c>
      <c r="J421" t="s">
        <v>404</v>
      </c>
      <c r="K421" t="s">
        <v>4133</v>
      </c>
      <c r="L421" t="s">
        <v>225</v>
      </c>
      <c r="M421">
        <v>8</v>
      </c>
      <c r="N421" t="s">
        <v>554</v>
      </c>
      <c r="O421" t="s">
        <v>555</v>
      </c>
      <c r="P421"/>
      <c r="Q421" t="s">
        <v>556</v>
      </c>
      <c r="R421" t="s">
        <v>153</v>
      </c>
      <c r="S421" t="s">
        <v>94</v>
      </c>
      <c r="T421" t="s">
        <v>557</v>
      </c>
      <c r="U421" t="s">
        <v>62</v>
      </c>
      <c r="V421">
        <v>7208337984</v>
      </c>
      <c r="W421" s="1">
        <v>63855</v>
      </c>
      <c r="X421">
        <v>2</v>
      </c>
      <c r="Y421">
        <v>2</v>
      </c>
      <c r="Z421"/>
      <c r="AA421" t="s">
        <v>70</v>
      </c>
      <c r="AB421"/>
      <c r="AC421"/>
      <c r="AD421" t="s">
        <v>494</v>
      </c>
      <c r="AE421">
        <v>8741</v>
      </c>
      <c r="AF421" t="s">
        <v>495</v>
      </c>
      <c r="AG421"/>
      <c r="AH421"/>
      <c r="AI421">
        <v>87410000</v>
      </c>
      <c r="AJ421" t="s">
        <v>496</v>
      </c>
      <c r="AK421"/>
      <c r="AL421"/>
      <c r="AM421">
        <v>561110</v>
      </c>
      <c r="AN421" t="s">
        <v>497</v>
      </c>
      <c r="AO421"/>
      <c r="AP421"/>
      <c r="AQ421" t="s">
        <v>75</v>
      </c>
      <c r="AR421"/>
      <c r="AS421"/>
      <c r="AT421" t="s">
        <v>76</v>
      </c>
      <c r="AU421"/>
      <c r="AV421"/>
      <c r="AW421"/>
      <c r="AX421"/>
      <c r="AY421"/>
      <c r="AZ421"/>
      <c r="BA421"/>
      <c r="BB421"/>
      <c r="BC421"/>
      <c r="BD421"/>
      <c r="BE421"/>
      <c r="BF421">
        <v>0</v>
      </c>
      <c r="BG421">
        <v>0</v>
      </c>
      <c r="BH421" s="4"/>
      <c r="BI421" s="4"/>
      <c r="BJ421" s="4"/>
      <c r="BK421" s="4"/>
      <c r="BL421" s="4"/>
      <c r="BM421" s="4"/>
      <c r="BN421" s="4"/>
      <c r="BO421" s="4"/>
      <c r="BP421" s="4"/>
      <c r="BQ421" s="4"/>
      <c r="BR421" s="4"/>
      <c r="BS421" s="4"/>
      <c r="BT421" s="4"/>
      <c r="BU421" s="4"/>
      <c r="BV421" s="4"/>
      <c r="BW421" s="4"/>
      <c r="BX421" s="4"/>
      <c r="BY421" s="4"/>
      <c r="BZ421" s="4"/>
      <c r="CA421" s="4"/>
      <c r="CB421" s="4"/>
      <c r="CC421" s="4"/>
      <c r="CD421" s="4"/>
      <c r="CE421" s="4"/>
      <c r="CF421" s="4"/>
      <c r="CG421" s="4"/>
      <c r="CH421" s="4"/>
      <c r="CI421" s="4"/>
      <c r="CJ421" s="4"/>
      <c r="CK421" s="19">
        <f>IF(BQ421&gt;0,BQ421,W421)</f>
        <v>63855</v>
      </c>
      <c r="CL421" s="20">
        <f>IF(BS421&gt;0,BS421,Y421)</f>
        <v>2</v>
      </c>
      <c r="CM421" s="34">
        <f>IF(CG421&gt;0,CG421,AM421)</f>
        <v>561110</v>
      </c>
      <c r="CN421" s="80">
        <f>IF($BH421="",1,COUNTIF($BH$3:$BH421,$BH421))</f>
        <v>1</v>
      </c>
      <c r="CO421"/>
      <c r="CP421" t="str">
        <f>IF($K421="Standard Match","Match",IF($K421="Name Only Match",IF($CO421="Yes","Match","Name Only Match"),"No Match"))</f>
        <v>Match</v>
      </c>
      <c r="CQ421" s="35" t="str">
        <f>IF(AND(CP421="Match",CK421&gt;0,CL421&gt;0),"Y","N")</f>
        <v>Y</v>
      </c>
      <c r="CR421"/>
      <c r="CS421" t="str">
        <f>IF($CQ421="Y",VLOOKUP($CM421,'SBA Size Standards'!$B$3:$G$57,MATCH('SBA Size Standards'!$G$3,'SBA Size Standards'!$B$3:$G$3,0),FALSE),"")</f>
        <v>Revenue</v>
      </c>
      <c r="CT421" s="60">
        <f>IF(CQ421="Y",IF($CS421="Employment","N/A",VLOOKUP($CM421,'SBA Size Standards'!$B$3:$G$57,MATCH('SBA Size Standards'!$E$3,'SBA Size Standards'!$B$3:$G$3,0),FALSE)),"")</f>
        <v>8000000</v>
      </c>
      <c r="CU421" s="86" t="str">
        <f>IF($CQ421="Y",IF($CS421="Revenue","N/A",VLOOKUP($CM421,'SBA Size Standards'!$B$3:$G$57,MATCH('SBA Size Standards'!$F$3,'SBA Size Standards'!$B$3:$G$3,0),FALSE)),"")</f>
        <v>N/A</v>
      </c>
      <c r="CV421" t="str">
        <f>IF($CQ421="Y",IF(OR(AND($CS421="Employment",$CL421&lt;$CU421),AND($CS421="Revenue",$CK421&lt;$CT421)),"YES","NO"),"")</f>
        <v>YES</v>
      </c>
      <c r="CW421" s="90" t="str">
        <f>IF($CQ421="Y",INDEX('SBA Size Standards'!$N$3:$N$12,MATCH($CK421,'SBA Size Standards'!$O$3:$O$12,1)),"")</f>
        <v>$50,001 - $100,000</v>
      </c>
      <c r="CX421" s="122" t="s">
        <v>4812</v>
      </c>
      <c r="CY421" s="122">
        <f>INDEX('NM O&amp;G Production'!$P$3:$P$537,MATCH(CX421,'NM O&amp;G Production'!$Q$3:$Q$537,0))</f>
        <v>68</v>
      </c>
      <c r="CZ421" s="122" t="str">
        <f>INDEX('NM O&amp;G Production'!$O$3:$O$537,MATCH(CY421,'NM O&amp;G Production'!$P$3:$P$537,0))</f>
        <v>No</v>
      </c>
      <c r="DA421" s="127">
        <f>INDEX('NM O&amp;G Production'!$K$3:$O$537,MATCH($CY421,'NM O&amp;G Production'!$P$3:$P$537,0),MATCH(DA$2,'NM O&amp;G Production'!$K$2:$O$2,0))</f>
        <v>0</v>
      </c>
      <c r="DB421" s="127">
        <f>INDEX('NM O&amp;G Production'!$K$3:$O$537,MATCH($CY421,'NM O&amp;G Production'!$P$3:$P$537,0),MATCH(DB$2,'NM O&amp;G Production'!$K$2:$O$2,0))</f>
        <v>0</v>
      </c>
      <c r="DC421" s="127"/>
      <c r="DD421" s="127">
        <f>INDEX('NM O&amp;G Production'!$K$3:$O$537,MATCH($CY421,'NM O&amp;G Production'!$P$3:$P$537,0),MATCH(DD$2,'NM O&amp;G Production'!$K$2:$O$2,0))</f>
        <v>0</v>
      </c>
      <c r="DE421" s="127">
        <f>INDEX('NM O&amp;G Production'!$K$3:$O$537,MATCH($CY421,'NM O&amp;G Production'!$P$3:$P$537,0),MATCH(DE$2,'NM O&amp;G Production'!$K$2:$O$2,0))</f>
        <v>0</v>
      </c>
      <c r="DF421" s="258" t="e">
        <f>CK421/(DB421+DA421)</f>
        <v>#DIV/0!</v>
      </c>
      <c r="DG421" s="57">
        <f>DD421*(12/18)*1.06*'Oil and Gas Prices'!$C$18</f>
        <v>0</v>
      </c>
      <c r="DH421" s="284">
        <f>DE421*(12/18)*'Oil and Gas Prices'!$C$4</f>
        <v>0</v>
      </c>
      <c r="DI421" s="284"/>
      <c r="DJ421" s="57" t="e">
        <f>(DG421+DH421)/(DA421+DB421)</f>
        <v>#DIV/0!</v>
      </c>
      <c r="DK421" s="18" t="e">
        <f>CK421/DI421</f>
        <v>#DIV/0!</v>
      </c>
    </row>
    <row r="422" spans="1:115" x14ac:dyDescent="0.25">
      <c r="A422" t="s">
        <v>3326</v>
      </c>
      <c r="B422" t="s">
        <v>3327</v>
      </c>
      <c r="D422" t="s">
        <v>378</v>
      </c>
      <c r="E422" t="s">
        <v>80</v>
      </c>
      <c r="F422">
        <v>75206</v>
      </c>
      <c r="G422" t="s">
        <v>62</v>
      </c>
      <c r="I422">
        <v>492</v>
      </c>
      <c r="J422" t="s">
        <v>63</v>
      </c>
      <c r="K422" t="s">
        <v>4133</v>
      </c>
      <c r="L422" t="s">
        <v>247</v>
      </c>
      <c r="M422">
        <v>10</v>
      </c>
      <c r="N422" t="s">
        <v>3328</v>
      </c>
      <c r="O422" t="s">
        <v>3329</v>
      </c>
      <c r="Q422" t="s">
        <v>1853</v>
      </c>
      <c r="R422" t="s">
        <v>378</v>
      </c>
      <c r="S422" t="s">
        <v>94</v>
      </c>
      <c r="T422" t="s">
        <v>1854</v>
      </c>
      <c r="U422" t="s">
        <v>62</v>
      </c>
      <c r="W422" s="1">
        <v>63059</v>
      </c>
      <c r="X422">
        <v>8</v>
      </c>
      <c r="Y422">
        <v>8</v>
      </c>
      <c r="Z422">
        <v>2019</v>
      </c>
      <c r="AA422" t="s">
        <v>70</v>
      </c>
      <c r="AD422" t="s">
        <v>2666</v>
      </c>
      <c r="AE422">
        <v>7822</v>
      </c>
      <c r="AF422" t="s">
        <v>2667</v>
      </c>
      <c r="AI422">
        <v>78220000</v>
      </c>
      <c r="AJ422" t="s">
        <v>2668</v>
      </c>
      <c r="AM422">
        <v>512120</v>
      </c>
      <c r="AN422" t="s">
        <v>2669</v>
      </c>
      <c r="AQ422" t="s">
        <v>75</v>
      </c>
      <c r="AT422" t="s">
        <v>76</v>
      </c>
      <c r="BF422">
        <v>0</v>
      </c>
      <c r="BG422">
        <v>0</v>
      </c>
      <c r="CK422" s="19">
        <f>IF(BQ422&gt;0,BQ422,W422)</f>
        <v>63059</v>
      </c>
      <c r="CL422" s="20">
        <f>IF(BS422&gt;0,BS422,Y422)</f>
        <v>8</v>
      </c>
      <c r="CM422" s="34">
        <f>IF(CG422&gt;0,CG422,AM422)</f>
        <v>512120</v>
      </c>
      <c r="CN422" s="80">
        <f>IF($BH422="",1,COUNTIF($BH$3:$BH422,$BH422))</f>
        <v>1</v>
      </c>
      <c r="CP422" t="str">
        <f>IF($K422="Standard Match","Match",IF($K422="Name Only Match",IF($CO422="Yes","Match","Name Only Match"),"No Match"))</f>
        <v>Match</v>
      </c>
      <c r="CQ422" s="35" t="str">
        <f>IF(AND(CP422="Match",CK422&gt;0,CL422&gt;0),"Y","N")</f>
        <v>Y</v>
      </c>
      <c r="CS422" t="str">
        <f>IF($CQ422="Y",VLOOKUP($CM422,'SBA Size Standards'!$B$3:$G$57,MATCH('SBA Size Standards'!$G$3,'SBA Size Standards'!$B$3:$G$3,0),FALSE),"")</f>
        <v>Revenue</v>
      </c>
      <c r="CT422" s="60">
        <f>IF(CQ422="Y",IF($CS422="Employment","N/A",VLOOKUP($CM422,'SBA Size Standards'!$B$3:$G$57,MATCH('SBA Size Standards'!$E$3,'SBA Size Standards'!$B$3:$G$3,0),FALSE)),"")</f>
        <v>34500000</v>
      </c>
      <c r="CU422" s="86" t="str">
        <f>IF($CQ422="Y",IF($CS422="Revenue","N/A",VLOOKUP($CM422,'SBA Size Standards'!$B$3:$G$57,MATCH('SBA Size Standards'!$F$3,'SBA Size Standards'!$B$3:$G$3,0),FALSE)),"")</f>
        <v>N/A</v>
      </c>
      <c r="CV422" t="str">
        <f>IF($CQ422="Y",IF(OR(AND($CS422="Employment",$CL422&lt;$CU422),AND($CS422="Revenue",$CK422&lt;$CT422)),"YES","NO"),"")</f>
        <v>YES</v>
      </c>
      <c r="CW422" s="90" t="str">
        <f>IF($CQ422="Y",INDEX('SBA Size Standards'!$N$3:$N$12,MATCH($CK422,'SBA Size Standards'!$O$3:$O$12,1)),"")</f>
        <v>$50,001 - $100,000</v>
      </c>
      <c r="CX422" s="122" t="s">
        <v>4771</v>
      </c>
      <c r="CY422" s="122">
        <f>INDEX('NM O&amp;G Production'!$P$3:$P$537,MATCH(CX422,'NM O&amp;G Production'!$Q$3:$Q$537,0))</f>
        <v>492</v>
      </c>
      <c r="CZ422" s="122" t="str">
        <f>INDEX('NM O&amp;G Production'!$O$3:$O$537,MATCH(CY422,'NM O&amp;G Production'!$P$3:$P$537,0))</f>
        <v>Yes</v>
      </c>
      <c r="DA422" s="127">
        <f>INDEX('NM O&amp;G Production'!$K$3:$O$537,MATCH($CY422,'NM O&amp;G Production'!$P$3:$P$537,0),MATCH(DA$2,'NM O&amp;G Production'!$K$2:$O$2,0))</f>
        <v>0</v>
      </c>
      <c r="DB422" s="127">
        <f>INDEX('NM O&amp;G Production'!$K$3:$O$537,MATCH($CY422,'NM O&amp;G Production'!$P$3:$P$537,0),MATCH(DB$2,'NM O&amp;G Production'!$K$2:$O$2,0))</f>
        <v>4</v>
      </c>
      <c r="DC422" s="127">
        <f>DA422+DB422</f>
        <v>4</v>
      </c>
      <c r="DD422" s="127">
        <f>INDEX('NM O&amp;G Production'!$K$3:$O$537,MATCH($CY422,'NM O&amp;G Production'!$P$3:$P$537,0),MATCH(DD$2,'NM O&amp;G Production'!$K$2:$O$2,0))</f>
        <v>29013</v>
      </c>
      <c r="DE422" s="127">
        <f>INDEX('NM O&amp;G Production'!$K$3:$O$537,MATCH($CY422,'NM O&amp;G Production'!$P$3:$P$537,0),MATCH(DE$2,'NM O&amp;G Production'!$K$2:$O$2,0))</f>
        <v>0</v>
      </c>
      <c r="DF422" s="258">
        <f>CK422/(DB422+DA422)</f>
        <v>15764.75</v>
      </c>
      <c r="DG422" s="57">
        <f>DD422*(12/18)*1.06*'Oil and Gas Prices'!$C$18</f>
        <v>49001.022800000006</v>
      </c>
      <c r="DH422" s="284">
        <f>DE422*(12/18)*'Oil and Gas Prices'!$C$4</f>
        <v>0</v>
      </c>
      <c r="DI422" s="284">
        <f>DG422+DH422</f>
        <v>49001.022800000006</v>
      </c>
      <c r="DJ422" s="57">
        <f>(DG422+DH422)/(DA422+DB422)</f>
        <v>12250.255700000002</v>
      </c>
      <c r="DK422" s="318"/>
    </row>
    <row r="423" spans="1:115" s="21" customFormat="1" x14ac:dyDescent="0.25">
      <c r="A423" s="21" t="s">
        <v>1312</v>
      </c>
      <c r="B423" s="21" t="s">
        <v>1313</v>
      </c>
      <c r="D423" s="21" t="s">
        <v>83</v>
      </c>
      <c r="E423" s="21" t="s">
        <v>84</v>
      </c>
      <c r="F423">
        <v>88211</v>
      </c>
      <c r="G423" t="s">
        <v>62</v>
      </c>
      <c r="H423"/>
      <c r="I423">
        <v>171</v>
      </c>
      <c r="J423" t="s">
        <v>89</v>
      </c>
      <c r="K423" t="s">
        <v>4134</v>
      </c>
      <c r="L423" t="s">
        <v>3627</v>
      </c>
      <c r="M423">
        <v>8</v>
      </c>
      <c r="N423" t="s">
        <v>4098</v>
      </c>
      <c r="O423" s="21" t="s">
        <v>4099</v>
      </c>
      <c r="P423" s="21" t="s">
        <v>4100</v>
      </c>
      <c r="Q423" s="21" t="s">
        <v>4101</v>
      </c>
      <c r="R423" s="21" t="s">
        <v>4102</v>
      </c>
      <c r="S423" s="21" t="s">
        <v>390</v>
      </c>
      <c r="T423" t="s">
        <v>4103</v>
      </c>
      <c r="U423" t="s">
        <v>62</v>
      </c>
      <c r="V423">
        <v>2173824222</v>
      </c>
      <c r="W423" s="23">
        <v>60000</v>
      </c>
      <c r="X423" s="21">
        <v>1</v>
      </c>
      <c r="Y423" s="21">
        <v>1</v>
      </c>
      <c r="Z423">
        <v>1970</v>
      </c>
      <c r="AA423" s="21" t="s">
        <v>70</v>
      </c>
      <c r="AB423" t="s">
        <v>4104</v>
      </c>
      <c r="AC423" t="s">
        <v>483</v>
      </c>
      <c r="AD423" s="21" t="s">
        <v>825</v>
      </c>
      <c r="AE423">
        <v>5172</v>
      </c>
      <c r="AF423" t="s">
        <v>826</v>
      </c>
      <c r="AG423">
        <v>5541</v>
      </c>
      <c r="AH423" t="s">
        <v>254</v>
      </c>
      <c r="AI423">
        <v>51720000</v>
      </c>
      <c r="AJ423" t="s">
        <v>825</v>
      </c>
      <c r="AK423">
        <v>55419901</v>
      </c>
      <c r="AL423" t="s">
        <v>255</v>
      </c>
      <c r="AM423" s="21">
        <v>424720</v>
      </c>
      <c r="AN423" s="21" t="s">
        <v>827</v>
      </c>
      <c r="AO423" s="21">
        <v>447190</v>
      </c>
      <c r="AP423" s="21" t="s">
        <v>256</v>
      </c>
      <c r="AQ423" s="21" t="s">
        <v>75</v>
      </c>
      <c r="AR423"/>
      <c r="AS423"/>
      <c r="AT423" t="s">
        <v>76</v>
      </c>
      <c r="AU423"/>
      <c r="AV423"/>
      <c r="AW423"/>
      <c r="AX423"/>
      <c r="AY423"/>
      <c r="AZ423"/>
      <c r="BA423"/>
      <c r="BB423"/>
      <c r="BC423"/>
      <c r="BD423"/>
      <c r="BE423"/>
      <c r="BF423">
        <v>0</v>
      </c>
      <c r="BG423" s="24">
        <v>0</v>
      </c>
      <c r="BH423" s="24"/>
      <c r="BI423" s="24"/>
      <c r="BJ423" s="24"/>
      <c r="BK423" s="24"/>
      <c r="BL423" s="24"/>
      <c r="BM423" s="24"/>
      <c r="BN423" s="24"/>
      <c r="BO423" s="24"/>
      <c r="BP423" s="4"/>
      <c r="BQ423" s="24"/>
      <c r="BR423" s="24"/>
      <c r="BS423" s="24"/>
      <c r="BT423" s="4"/>
      <c r="BU423" s="24"/>
      <c r="BV423" s="4"/>
      <c r="BW423" s="4"/>
      <c r="BX423" s="24"/>
      <c r="BY423" s="4"/>
      <c r="BZ423" s="4"/>
      <c r="CA423" s="4"/>
      <c r="CB423" s="4"/>
      <c r="CC423" s="4"/>
      <c r="CD423" s="4"/>
      <c r="CE423" s="4"/>
      <c r="CF423" s="4"/>
      <c r="CG423" s="24"/>
      <c r="CH423" s="24"/>
      <c r="CI423" s="24"/>
      <c r="CJ423" s="24"/>
      <c r="CK423" s="19">
        <f>IF(BQ423&gt;0,BQ423,W423)</f>
        <v>60000</v>
      </c>
      <c r="CL423" s="20">
        <f>IF(BS423&gt;0,BS423,Y423)</f>
        <v>1</v>
      </c>
      <c r="CM423" s="34">
        <f>IF(CG423&gt;0,CG423,AM423)</f>
        <v>424720</v>
      </c>
      <c r="CN423" s="80">
        <f>IF($BH423="",1,COUNTIF($BH$3:$BH423,$BH423))</f>
        <v>1</v>
      </c>
      <c r="CO423" s="33" t="s">
        <v>4386</v>
      </c>
      <c r="CP423" t="str">
        <f>IF($K423="Standard Match","Match",IF($K423="Name Only Match",IF($CO423="Yes","Match","Name Only Match"),"No Match"))</f>
        <v>Match</v>
      </c>
      <c r="CQ423" s="35" t="str">
        <f>IF(AND(CP423="Match",CK423&gt;0,CL423&gt;0),"Y","N")</f>
        <v>Y</v>
      </c>
      <c r="CS423" t="str">
        <f>IF($CQ423="Y",VLOOKUP($CM423,'SBA Size Standards'!$B$3:$G$57,MATCH('SBA Size Standards'!$G$3,'SBA Size Standards'!$B$3:$G$3,0),FALSE),"")</f>
        <v>Employment</v>
      </c>
      <c r="CT423" s="60" t="str">
        <f>IF(CQ423="Y",IF($CS423="Employment","N/A",VLOOKUP($CM423,'SBA Size Standards'!$B$3:$G$57,MATCH('SBA Size Standards'!$E$3,'SBA Size Standards'!$B$3:$G$3,0),FALSE)),"")</f>
        <v>N/A</v>
      </c>
      <c r="CU423" s="86">
        <f>IF($CQ423="Y",IF($CS423="Revenue","N/A",VLOOKUP($CM423,'SBA Size Standards'!$B$3:$G$57,MATCH('SBA Size Standards'!$F$3,'SBA Size Standards'!$B$3:$G$3,0),FALSE)),"")</f>
        <v>200</v>
      </c>
      <c r="CV423" t="str">
        <f>IF($CQ423="Y",IF(OR(AND($CS423="Employment",$CL423&lt;$CU423),AND($CS423="Revenue",$CK423&lt;$CT423)),"YES","NO"),"")</f>
        <v>YES</v>
      </c>
      <c r="CW423" s="90" t="str">
        <f>IF($CQ423="Y",INDEX('SBA Size Standards'!$N$3:$N$12,MATCH($CK423,'SBA Size Standards'!$O$3:$O$12,1)),"")</f>
        <v>$50,001 - $100,000</v>
      </c>
      <c r="CX423" s="122" t="s">
        <v>4958</v>
      </c>
      <c r="CY423" s="122">
        <f>INDEX('NM O&amp;G Production'!$P$3:$P$537,MATCH(CX423,'NM O&amp;G Production'!$Q$3:$Q$537,0))</f>
        <v>171</v>
      </c>
      <c r="CZ423" s="122" t="str">
        <f>INDEX('NM O&amp;G Production'!$O$3:$O$537,MATCH(CY423,'NM O&amp;G Production'!$P$3:$P$537,0))</f>
        <v>Yes</v>
      </c>
      <c r="DA423" s="127">
        <f>INDEX('NM O&amp;G Production'!$K$3:$O$537,MATCH($CY423,'NM O&amp;G Production'!$P$3:$P$537,0),MATCH(DA$2,'NM O&amp;G Production'!$K$2:$O$2,0))</f>
        <v>0</v>
      </c>
      <c r="DB423" s="127">
        <f>INDEX('NM O&amp;G Production'!$K$3:$O$537,MATCH($CY423,'NM O&amp;G Production'!$P$3:$P$537,0),MATCH(DB$2,'NM O&amp;G Production'!$K$2:$O$2,0))</f>
        <v>75</v>
      </c>
      <c r="DC423" s="127">
        <f>DA423+DB423</f>
        <v>75</v>
      </c>
      <c r="DD423" s="127">
        <f>INDEX('NM O&amp;G Production'!$K$3:$O$537,MATCH($CY423,'NM O&amp;G Production'!$P$3:$P$537,0),MATCH(DD$2,'NM O&amp;G Production'!$K$2:$O$2,0))</f>
        <v>24817</v>
      </c>
      <c r="DE423" s="127">
        <f>INDEX('NM O&amp;G Production'!$K$3:$O$537,MATCH($CY423,'NM O&amp;G Production'!$P$3:$P$537,0),MATCH(DE$2,'NM O&amp;G Production'!$K$2:$O$2,0))</f>
        <v>18631</v>
      </c>
      <c r="DF423" s="258">
        <f>CK423/(DB423+DA423)</f>
        <v>800</v>
      </c>
      <c r="DG423" s="57">
        <f>DD423*(12/18)*1.06*'Oil and Gas Prices'!$C$18</f>
        <v>41914.258533333334</v>
      </c>
      <c r="DH423" s="284">
        <f>DE423*(12/18)*'Oil and Gas Prices'!$C$4</f>
        <v>558930</v>
      </c>
      <c r="DI423" s="284">
        <f>DG423+DH423</f>
        <v>600844.25853333331</v>
      </c>
      <c r="DJ423" s="57">
        <f>(DG423+DH423)/(DA423+DB423)</f>
        <v>8011.2567804444443</v>
      </c>
      <c r="DK423" s="318"/>
    </row>
    <row r="424" spans="1:115" s="21" customFormat="1" x14ac:dyDescent="0.25">
      <c r="A424" t="s">
        <v>2735</v>
      </c>
      <c r="B424" t="s">
        <v>2736</v>
      </c>
      <c r="C424"/>
      <c r="D424" t="s">
        <v>378</v>
      </c>
      <c r="E424" t="s">
        <v>80</v>
      </c>
      <c r="F424">
        <v>75219</v>
      </c>
      <c r="G424" t="s">
        <v>62</v>
      </c>
      <c r="H424"/>
      <c r="I424">
        <v>396</v>
      </c>
      <c r="J424" t="s">
        <v>63</v>
      </c>
      <c r="K424" t="s">
        <v>4133</v>
      </c>
      <c r="L424" t="s">
        <v>113</v>
      </c>
      <c r="M424">
        <v>8</v>
      </c>
      <c r="N424" t="s">
        <v>2737</v>
      </c>
      <c r="O424" t="s">
        <v>2738</v>
      </c>
      <c r="P424"/>
      <c r="Q424" t="s">
        <v>2739</v>
      </c>
      <c r="R424" t="s">
        <v>378</v>
      </c>
      <c r="S424" t="s">
        <v>94</v>
      </c>
      <c r="T424" t="s">
        <v>2740</v>
      </c>
      <c r="U424" t="s">
        <v>62</v>
      </c>
      <c r="V424">
        <v>2146156398</v>
      </c>
      <c r="W424" s="1">
        <v>58050</v>
      </c>
      <c r="X424">
        <v>2</v>
      </c>
      <c r="Y424">
        <v>2</v>
      </c>
      <c r="Z424">
        <v>2019</v>
      </c>
      <c r="AA424" t="s">
        <v>70</v>
      </c>
      <c r="AB424" t="s">
        <v>2741</v>
      </c>
      <c r="AC424" t="s">
        <v>145</v>
      </c>
      <c r="AD424" t="s">
        <v>494</v>
      </c>
      <c r="AE424">
        <v>8741</v>
      </c>
      <c r="AF424" t="s">
        <v>495</v>
      </c>
      <c r="AG424"/>
      <c r="AH424"/>
      <c r="AI424">
        <v>87410000</v>
      </c>
      <c r="AJ424" t="s">
        <v>496</v>
      </c>
      <c r="AK424"/>
      <c r="AL424"/>
      <c r="AM424">
        <v>561110</v>
      </c>
      <c r="AN424" t="s">
        <v>497</v>
      </c>
      <c r="AO424"/>
      <c r="AP424"/>
      <c r="AQ424" t="s">
        <v>75</v>
      </c>
      <c r="AR424"/>
      <c r="AS424"/>
      <c r="AT424" t="s">
        <v>76</v>
      </c>
      <c r="AU424"/>
      <c r="AV424"/>
      <c r="AW424"/>
      <c r="AX424"/>
      <c r="AY424"/>
      <c r="AZ424"/>
      <c r="BA424"/>
      <c r="BB424"/>
      <c r="BC424"/>
      <c r="BD424"/>
      <c r="BE424"/>
      <c r="BF424">
        <v>0</v>
      </c>
      <c r="BG424">
        <v>0</v>
      </c>
      <c r="BH424" s="4"/>
      <c r="BI424" s="4"/>
      <c r="BJ424" s="4"/>
      <c r="BK424" s="4"/>
      <c r="BL424" s="4"/>
      <c r="BM424" s="4"/>
      <c r="BN424" s="4"/>
      <c r="BO424" s="4"/>
      <c r="BP424" s="4"/>
      <c r="BQ424" s="4"/>
      <c r="BR424" s="4"/>
      <c r="BS424" s="4"/>
      <c r="BT424" s="4"/>
      <c r="BU424" s="4"/>
      <c r="BV424" s="4"/>
      <c r="BW424" s="4"/>
      <c r="BX424" s="4"/>
      <c r="BY424" s="4"/>
      <c r="BZ424" s="4"/>
      <c r="CA424" s="4"/>
      <c r="CB424" s="4"/>
      <c r="CC424" s="4"/>
      <c r="CD424" s="4"/>
      <c r="CE424" s="4"/>
      <c r="CF424" s="4"/>
      <c r="CG424" s="4"/>
      <c r="CH424" s="4"/>
      <c r="CI424" s="4"/>
      <c r="CJ424" s="4"/>
      <c r="CK424" s="19">
        <f>IF(BQ424&gt;0,BQ424,W424)</f>
        <v>58050</v>
      </c>
      <c r="CL424" s="20">
        <f>IF(BS424&gt;0,BS424,Y424)</f>
        <v>2</v>
      </c>
      <c r="CM424" s="34">
        <f>IF(CG424&gt;0,CG424,AM424)</f>
        <v>561110</v>
      </c>
      <c r="CN424" s="80">
        <f>IF($BH424="",1,COUNTIF($BH$3:$BH424,$BH424))</f>
        <v>1</v>
      </c>
      <c r="CO424"/>
      <c r="CP424" t="str">
        <f>IF($K424="Standard Match","Match",IF($K424="Name Only Match",IF($CO424="Yes","Match","Name Only Match"),"No Match"))</f>
        <v>Match</v>
      </c>
      <c r="CQ424" s="35" t="str">
        <f>IF(AND(CP424="Match",CK424&gt;0,CL424&gt;0),"Y","N")</f>
        <v>Y</v>
      </c>
      <c r="CR424"/>
      <c r="CS424" t="str">
        <f>IF($CQ424="Y",VLOOKUP($CM424,'SBA Size Standards'!$B$3:$G$57,MATCH('SBA Size Standards'!$G$3,'SBA Size Standards'!$B$3:$G$3,0),FALSE),"")</f>
        <v>Revenue</v>
      </c>
      <c r="CT424" s="60">
        <f>IF(CQ424="Y",IF($CS424="Employment","N/A",VLOOKUP($CM424,'SBA Size Standards'!$B$3:$G$57,MATCH('SBA Size Standards'!$E$3,'SBA Size Standards'!$B$3:$G$3,0),FALSE)),"")</f>
        <v>8000000</v>
      </c>
      <c r="CU424" s="86" t="str">
        <f>IF($CQ424="Y",IF($CS424="Revenue","N/A",VLOOKUP($CM424,'SBA Size Standards'!$B$3:$G$57,MATCH('SBA Size Standards'!$F$3,'SBA Size Standards'!$B$3:$G$3,0),FALSE)),"")</f>
        <v>N/A</v>
      </c>
      <c r="CV424" t="str">
        <f>IF($CQ424="Y",IF(OR(AND($CS424="Employment",$CL424&lt;$CU424),AND($CS424="Revenue",$CK424&lt;$CT424)),"YES","NO"),"")</f>
        <v>YES</v>
      </c>
      <c r="CW424" s="90" t="str">
        <f>IF($CQ424="Y",INDEX('SBA Size Standards'!$N$3:$N$12,MATCH($CK424,'SBA Size Standards'!$O$3:$O$12,1)),"")</f>
        <v>$50,001 - $100,000</v>
      </c>
      <c r="CX424" s="122" t="s">
        <v>4892</v>
      </c>
      <c r="CY424" s="122">
        <f>INDEX('NM O&amp;G Production'!$P$3:$P$537,MATCH(CX424,'NM O&amp;G Production'!$Q$3:$Q$537,0))</f>
        <v>396</v>
      </c>
      <c r="CZ424" s="122" t="str">
        <f>INDEX('NM O&amp;G Production'!$O$3:$O$537,MATCH(CY424,'NM O&amp;G Production'!$P$3:$P$537,0))</f>
        <v>No</v>
      </c>
      <c r="DA424" s="127">
        <f>INDEX('NM O&amp;G Production'!$K$3:$O$537,MATCH($CY424,'NM O&amp;G Production'!$P$3:$P$537,0),MATCH(DA$2,'NM O&amp;G Production'!$K$2:$O$2,0))</f>
        <v>0</v>
      </c>
      <c r="DB424" s="127">
        <f>INDEX('NM O&amp;G Production'!$K$3:$O$537,MATCH($CY424,'NM O&amp;G Production'!$P$3:$P$537,0),MATCH(DB$2,'NM O&amp;G Production'!$K$2:$O$2,0))</f>
        <v>0</v>
      </c>
      <c r="DC424" s="127"/>
      <c r="DD424" s="127">
        <f>INDEX('NM O&amp;G Production'!$K$3:$O$537,MATCH($CY424,'NM O&amp;G Production'!$P$3:$P$537,0),MATCH(DD$2,'NM O&amp;G Production'!$K$2:$O$2,0))</f>
        <v>0</v>
      </c>
      <c r="DE424" s="127">
        <f>INDEX('NM O&amp;G Production'!$K$3:$O$537,MATCH($CY424,'NM O&amp;G Production'!$P$3:$P$537,0),MATCH(DE$2,'NM O&amp;G Production'!$K$2:$O$2,0))</f>
        <v>0</v>
      </c>
      <c r="DF424" s="258" t="e">
        <f>CK424/(DB424+DA424)</f>
        <v>#DIV/0!</v>
      </c>
      <c r="DG424" s="57">
        <f>DD424*(12/18)*1.06*'Oil and Gas Prices'!$C$18</f>
        <v>0</v>
      </c>
      <c r="DH424" s="284">
        <f>DE424*(12/18)*'Oil and Gas Prices'!$C$4</f>
        <v>0</v>
      </c>
      <c r="DI424" s="284"/>
      <c r="DJ424" s="57" t="e">
        <f>(DG424+DH424)/(DA424+DB424)</f>
        <v>#DIV/0!</v>
      </c>
      <c r="DK424" s="18" t="e">
        <f>CK424/DI424</f>
        <v>#DIV/0!</v>
      </c>
    </row>
    <row r="425" spans="1:115" x14ac:dyDescent="0.25">
      <c r="A425" t="s">
        <v>1662</v>
      </c>
      <c r="B425" t="s">
        <v>1663</v>
      </c>
      <c r="D425" t="s">
        <v>112</v>
      </c>
      <c r="E425" t="s">
        <v>80</v>
      </c>
      <c r="F425" t="s">
        <v>1664</v>
      </c>
      <c r="G425" t="s">
        <v>62</v>
      </c>
      <c r="I425">
        <v>226</v>
      </c>
      <c r="J425" t="s">
        <v>63</v>
      </c>
      <c r="K425" t="s">
        <v>4133</v>
      </c>
      <c r="L425" t="s">
        <v>64</v>
      </c>
      <c r="M425">
        <v>10</v>
      </c>
      <c r="N425" t="s">
        <v>1665</v>
      </c>
      <c r="O425" t="s">
        <v>1666</v>
      </c>
      <c r="Q425" t="s">
        <v>1667</v>
      </c>
      <c r="R425" t="s">
        <v>112</v>
      </c>
      <c r="S425" t="s">
        <v>94</v>
      </c>
      <c r="T425" t="s">
        <v>1664</v>
      </c>
      <c r="U425" t="s">
        <v>62</v>
      </c>
      <c r="V425">
        <v>7136213882</v>
      </c>
      <c r="W425" s="1">
        <v>58050</v>
      </c>
      <c r="X425">
        <v>2</v>
      </c>
      <c r="Y425">
        <v>2</v>
      </c>
      <c r="Z425">
        <v>2019</v>
      </c>
      <c r="AA425" t="s">
        <v>70</v>
      </c>
      <c r="AD425" t="s">
        <v>494</v>
      </c>
      <c r="AE425">
        <v>8741</v>
      </c>
      <c r="AF425" t="s">
        <v>495</v>
      </c>
      <c r="AI425">
        <v>87410000</v>
      </c>
      <c r="AJ425" t="s">
        <v>496</v>
      </c>
      <c r="AM425">
        <v>561110</v>
      </c>
      <c r="AN425" t="s">
        <v>497</v>
      </c>
      <c r="AQ425" t="s">
        <v>75</v>
      </c>
      <c r="AT425" t="s">
        <v>76</v>
      </c>
      <c r="BF425">
        <v>0</v>
      </c>
      <c r="BG425">
        <v>0</v>
      </c>
      <c r="CK425" s="19">
        <f>IF(BQ425&gt;0,BQ425,W425)</f>
        <v>58050</v>
      </c>
      <c r="CL425" s="20">
        <f>IF(BS425&gt;0,BS425,Y425)</f>
        <v>2</v>
      </c>
      <c r="CM425" s="34">
        <f>IF(CG425&gt;0,CG425,AM425)</f>
        <v>561110</v>
      </c>
      <c r="CN425" s="80">
        <f>IF($BH425="",1,COUNTIF($BH$3:$BH425,$BH425))</f>
        <v>1</v>
      </c>
      <c r="CP425" t="str">
        <f>IF($K425="Standard Match","Match",IF($K425="Name Only Match",IF($CO425="Yes","Match","Name Only Match"),"No Match"))</f>
        <v>Match</v>
      </c>
      <c r="CQ425" s="35" t="str">
        <f>IF(AND(CP425="Match",CK425&gt;0,CL425&gt;0),"Y","N")</f>
        <v>Y</v>
      </c>
      <c r="CS425" t="str">
        <f>IF($CQ425="Y",VLOOKUP($CM425,'SBA Size Standards'!$B$3:$G$57,MATCH('SBA Size Standards'!$G$3,'SBA Size Standards'!$B$3:$G$3,0),FALSE),"")</f>
        <v>Revenue</v>
      </c>
      <c r="CT425" s="60">
        <f>IF(CQ425="Y",IF($CS425="Employment","N/A",VLOOKUP($CM425,'SBA Size Standards'!$B$3:$G$57,MATCH('SBA Size Standards'!$E$3,'SBA Size Standards'!$B$3:$G$3,0),FALSE)),"")</f>
        <v>8000000</v>
      </c>
      <c r="CU425" s="86" t="str">
        <f>IF($CQ425="Y",IF($CS425="Revenue","N/A",VLOOKUP($CM425,'SBA Size Standards'!$B$3:$G$57,MATCH('SBA Size Standards'!$F$3,'SBA Size Standards'!$B$3:$G$3,0),FALSE)),"")</f>
        <v>N/A</v>
      </c>
      <c r="CV425" t="str">
        <f>IF($CQ425="Y",IF(OR(AND($CS425="Employment",$CL425&lt;$CU425),AND($CS425="Revenue",$CK425&lt;$CT425)),"YES","NO"),"")</f>
        <v>YES</v>
      </c>
      <c r="CW425" s="90" t="str">
        <f>IF($CQ425="Y",INDEX('SBA Size Standards'!$N$3:$N$12,MATCH($CK425,'SBA Size Standards'!$O$3:$O$12,1)),"")</f>
        <v>$50,001 - $100,000</v>
      </c>
      <c r="CX425" s="122" t="s">
        <v>4643</v>
      </c>
      <c r="CY425" s="122">
        <f>INDEX('NM O&amp;G Production'!$P$3:$P$537,MATCH(CX425,'NM O&amp;G Production'!$Q$3:$Q$537,0))</f>
        <v>226</v>
      </c>
      <c r="CZ425" s="122" t="str">
        <f>INDEX('NM O&amp;G Production'!$O$3:$O$537,MATCH(CY425,'NM O&amp;G Production'!$P$3:$P$537,0))</f>
        <v>Yes</v>
      </c>
      <c r="DA425" s="127">
        <f>INDEX('NM O&amp;G Production'!$K$3:$O$537,MATCH($CY425,'NM O&amp;G Production'!$P$3:$P$537,0),MATCH(DA$2,'NM O&amp;G Production'!$K$2:$O$2,0))</f>
        <v>8</v>
      </c>
      <c r="DB425" s="127">
        <f>INDEX('NM O&amp;G Production'!$K$3:$O$537,MATCH($CY425,'NM O&amp;G Production'!$P$3:$P$537,0),MATCH(DB$2,'NM O&amp;G Production'!$K$2:$O$2,0))</f>
        <v>22</v>
      </c>
      <c r="DC425" s="127">
        <f>DA425+DB425</f>
        <v>30</v>
      </c>
      <c r="DD425" s="127">
        <f>INDEX('NM O&amp;G Production'!$K$3:$O$537,MATCH($CY425,'NM O&amp;G Production'!$P$3:$P$537,0),MATCH(DD$2,'NM O&amp;G Production'!$K$2:$O$2,0))</f>
        <v>403282</v>
      </c>
      <c r="DE425" s="127">
        <f>INDEX('NM O&amp;G Production'!$K$3:$O$537,MATCH($CY425,'NM O&amp;G Production'!$P$3:$P$537,0),MATCH(DE$2,'NM O&amp;G Production'!$K$2:$O$2,0))</f>
        <v>31009</v>
      </c>
      <c r="DF425" s="258">
        <f>CK425/(DB425+DA425)</f>
        <v>1935</v>
      </c>
      <c r="DG425" s="57">
        <f>DD425*(12/18)*1.06*'Oil and Gas Prices'!$C$18</f>
        <v>681116.41253333329</v>
      </c>
      <c r="DH425" s="284">
        <f>DE425*(12/18)*'Oil and Gas Prices'!$C$4</f>
        <v>930269.99999999988</v>
      </c>
      <c r="DI425" s="284">
        <f>DG425+DH425</f>
        <v>1611386.4125333331</v>
      </c>
      <c r="DJ425" s="57">
        <f>(DG425+DH425)/(DA425+DB425)</f>
        <v>53712.880417777771</v>
      </c>
      <c r="DK425" s="318"/>
    </row>
    <row r="426" spans="1:115" x14ac:dyDescent="0.25">
      <c r="A426" t="s">
        <v>277</v>
      </c>
      <c r="B426" t="s">
        <v>278</v>
      </c>
      <c r="D426" t="s">
        <v>209</v>
      </c>
      <c r="E426" t="s">
        <v>84</v>
      </c>
      <c r="F426">
        <v>88202</v>
      </c>
      <c r="G426" t="s">
        <v>62</v>
      </c>
      <c r="I426">
        <v>26</v>
      </c>
      <c r="J426" t="s">
        <v>89</v>
      </c>
      <c r="K426" t="s">
        <v>4133</v>
      </c>
      <c r="L426" t="s">
        <v>279</v>
      </c>
      <c r="M426">
        <v>8</v>
      </c>
      <c r="N426" t="s">
        <v>280</v>
      </c>
      <c r="O426" t="s">
        <v>281</v>
      </c>
      <c r="Q426" t="s">
        <v>282</v>
      </c>
      <c r="R426" t="s">
        <v>209</v>
      </c>
      <c r="S426" t="s">
        <v>214</v>
      </c>
      <c r="T426" t="s">
        <v>283</v>
      </c>
      <c r="U426" t="s">
        <v>62</v>
      </c>
      <c r="V426">
        <v>5759731346</v>
      </c>
      <c r="W426" s="1">
        <v>55210</v>
      </c>
      <c r="X426">
        <v>3</v>
      </c>
      <c r="Y426">
        <v>3</v>
      </c>
      <c r="Z426">
        <v>2016</v>
      </c>
      <c r="AA426" t="s">
        <v>70</v>
      </c>
      <c r="AB426" t="s">
        <v>284</v>
      </c>
      <c r="AC426" t="s">
        <v>231</v>
      </c>
      <c r="AD426" t="s">
        <v>285</v>
      </c>
      <c r="AE426">
        <v>5813</v>
      </c>
      <c r="AF426" t="s">
        <v>286</v>
      </c>
      <c r="AI426">
        <v>58130000</v>
      </c>
      <c r="AJ426" t="s">
        <v>287</v>
      </c>
      <c r="AM426">
        <v>722410</v>
      </c>
      <c r="AN426" t="s">
        <v>288</v>
      </c>
      <c r="AQ426" t="s">
        <v>75</v>
      </c>
      <c r="AT426" t="s">
        <v>76</v>
      </c>
      <c r="BF426">
        <v>0</v>
      </c>
      <c r="BG426">
        <v>0</v>
      </c>
      <c r="CK426" s="19">
        <f>IF(BQ426&gt;0,BQ426,W426)</f>
        <v>55210</v>
      </c>
      <c r="CL426" s="20">
        <f>IF(BS426&gt;0,BS426,Y426)</f>
        <v>3</v>
      </c>
      <c r="CM426" s="34">
        <f>IF(CG426&gt;0,CG426,AM426)</f>
        <v>722410</v>
      </c>
      <c r="CN426" s="80">
        <f>IF($BH426="",1,COUNTIF($BH$3:$BH426,$BH426))</f>
        <v>1</v>
      </c>
      <c r="CP426" t="str">
        <f>IF($K426="Standard Match","Match",IF($K426="Name Only Match",IF($CO426="Yes","Match","Name Only Match"),"No Match"))</f>
        <v>Match</v>
      </c>
      <c r="CQ426" s="35" t="str">
        <f>IF(AND(CP426="Match",CK426&gt;0,CL426&gt;0),"Y","N")</f>
        <v>Y</v>
      </c>
      <c r="CS426" t="str">
        <f>IF($CQ426="Y",VLOOKUP($CM426,'SBA Size Standards'!$B$3:$G$57,MATCH('SBA Size Standards'!$G$3,'SBA Size Standards'!$B$3:$G$3,0),FALSE),"")</f>
        <v>Revenue</v>
      </c>
      <c r="CT426" s="60">
        <f>IF(CQ426="Y",IF($CS426="Employment","N/A",VLOOKUP($CM426,'SBA Size Standards'!$B$3:$G$57,MATCH('SBA Size Standards'!$E$3,'SBA Size Standards'!$B$3:$G$3,0),FALSE)),"")</f>
        <v>8000000</v>
      </c>
      <c r="CU426" s="86" t="str">
        <f>IF($CQ426="Y",IF($CS426="Revenue","N/A",VLOOKUP($CM426,'SBA Size Standards'!$B$3:$G$57,MATCH('SBA Size Standards'!$F$3,'SBA Size Standards'!$B$3:$G$3,0),FALSE)),"")</f>
        <v>N/A</v>
      </c>
      <c r="CV426" t="str">
        <f>IF($CQ426="Y",IF(OR(AND($CS426="Employment",$CL426&lt;$CU426),AND($CS426="Revenue",$CK426&lt;$CT426)),"YES","NO"),"")</f>
        <v>YES</v>
      </c>
      <c r="CW426" s="90" t="str">
        <f>IF($CQ426="Y",INDEX('SBA Size Standards'!$N$3:$N$12,MATCH($CK426,'SBA Size Standards'!$O$3:$O$12,1)),"")</f>
        <v>$50,001 - $100,000</v>
      </c>
      <c r="CX426" s="122" t="s">
        <v>4805</v>
      </c>
      <c r="CY426" s="122">
        <f>INDEX('NM O&amp;G Production'!$P$3:$P$537,MATCH(CX426,'NM O&amp;G Production'!$Q$3:$Q$537,0))</f>
        <v>26</v>
      </c>
      <c r="CZ426" s="122" t="str">
        <f>INDEX('NM O&amp;G Production'!$O$3:$O$537,MATCH(CY426,'NM O&amp;G Production'!$P$3:$P$537,0))</f>
        <v>Yes</v>
      </c>
      <c r="DA426" s="127">
        <f>INDEX('NM O&amp;G Production'!$K$3:$O$537,MATCH($CY426,'NM O&amp;G Production'!$P$3:$P$537,0),MATCH(DA$2,'NM O&amp;G Production'!$K$2:$O$2,0))</f>
        <v>0</v>
      </c>
      <c r="DB426" s="127">
        <f>INDEX('NM O&amp;G Production'!$K$3:$O$537,MATCH($CY426,'NM O&amp;G Production'!$P$3:$P$537,0),MATCH(DB$2,'NM O&amp;G Production'!$K$2:$O$2,0))</f>
        <v>13</v>
      </c>
      <c r="DC426" s="127">
        <f>DA426+DB426</f>
        <v>13</v>
      </c>
      <c r="DD426" s="127">
        <f>INDEX('NM O&amp;G Production'!$K$3:$O$537,MATCH($CY426,'NM O&amp;G Production'!$P$3:$P$537,0),MATCH(DD$2,'NM O&amp;G Production'!$K$2:$O$2,0))</f>
        <v>0</v>
      </c>
      <c r="DE426" s="127">
        <f>INDEX('NM O&amp;G Production'!$K$3:$O$537,MATCH($CY426,'NM O&amp;G Production'!$P$3:$P$537,0),MATCH(DE$2,'NM O&amp;G Production'!$K$2:$O$2,0))</f>
        <v>111</v>
      </c>
      <c r="DF426" s="258">
        <f>CK426/(DB426+DA426)</f>
        <v>4246.9230769230771</v>
      </c>
      <c r="DG426" s="57">
        <f>DD426*(12/18)*1.06*'Oil and Gas Prices'!$C$18</f>
        <v>0</v>
      </c>
      <c r="DH426" s="284">
        <f>DE426*(12/18)*'Oil and Gas Prices'!$C$4</f>
        <v>3330</v>
      </c>
      <c r="DI426" s="284">
        <f>DG426+DH426</f>
        <v>3330</v>
      </c>
      <c r="DJ426" s="57">
        <f>(DG426+DH426)/(DA426+DB426)</f>
        <v>256.15384615384613</v>
      </c>
      <c r="DK426" s="318"/>
    </row>
    <row r="427" spans="1:115" s="21" customFormat="1" x14ac:dyDescent="0.25">
      <c r="A427" t="s">
        <v>2654</v>
      </c>
      <c r="B427" t="s">
        <v>2655</v>
      </c>
      <c r="C427"/>
      <c r="D427" t="s">
        <v>2656</v>
      </c>
      <c r="E427" t="s">
        <v>84</v>
      </c>
      <c r="F427">
        <v>87046</v>
      </c>
      <c r="G427" t="s">
        <v>62</v>
      </c>
      <c r="H427"/>
      <c r="I427">
        <v>384</v>
      </c>
      <c r="J427" t="s">
        <v>63</v>
      </c>
      <c r="K427" t="s">
        <v>4133</v>
      </c>
      <c r="L427" t="s">
        <v>279</v>
      </c>
      <c r="M427">
        <v>8</v>
      </c>
      <c r="N427" t="s">
        <v>2657</v>
      </c>
      <c r="O427" t="s">
        <v>2658</v>
      </c>
      <c r="P427"/>
      <c r="Q427" t="s">
        <v>2659</v>
      </c>
      <c r="R427" t="s">
        <v>2656</v>
      </c>
      <c r="S427" t="s">
        <v>214</v>
      </c>
      <c r="T427">
        <v>87046</v>
      </c>
      <c r="U427" t="s">
        <v>62</v>
      </c>
      <c r="V427">
        <v>5752892556</v>
      </c>
      <c r="W427" s="1">
        <v>52000</v>
      </c>
      <c r="X427">
        <v>2</v>
      </c>
      <c r="Y427">
        <v>2</v>
      </c>
      <c r="Z427">
        <v>2007</v>
      </c>
      <c r="AA427" t="s">
        <v>70</v>
      </c>
      <c r="AB427" t="s">
        <v>2660</v>
      </c>
      <c r="AC427" t="s">
        <v>145</v>
      </c>
      <c r="AD427" t="s">
        <v>1320</v>
      </c>
      <c r="AE427">
        <v>2911</v>
      </c>
      <c r="AF427" t="s">
        <v>774</v>
      </c>
      <c r="AG427">
        <v>5172</v>
      </c>
      <c r="AH427" t="s">
        <v>826</v>
      </c>
      <c r="AI427">
        <v>29110303</v>
      </c>
      <c r="AJ427" t="s">
        <v>1685</v>
      </c>
      <c r="AK427">
        <v>51729902</v>
      </c>
      <c r="AL427" t="s">
        <v>1995</v>
      </c>
      <c r="AM427">
        <v>324110</v>
      </c>
      <c r="AN427" t="s">
        <v>776</v>
      </c>
      <c r="AO427">
        <v>424720</v>
      </c>
      <c r="AP427" t="s">
        <v>827</v>
      </c>
      <c r="AQ427" t="s">
        <v>75</v>
      </c>
      <c r="AR427"/>
      <c r="AS427"/>
      <c r="AT427" t="s">
        <v>76</v>
      </c>
      <c r="AU427"/>
      <c r="AV427"/>
      <c r="AW427"/>
      <c r="AX427"/>
      <c r="AY427"/>
      <c r="AZ427"/>
      <c r="BA427"/>
      <c r="BB427"/>
      <c r="BC427"/>
      <c r="BD427"/>
      <c r="BE427"/>
      <c r="BF427">
        <v>0</v>
      </c>
      <c r="BG427"/>
      <c r="BH427" s="4"/>
      <c r="BI427" s="4"/>
      <c r="BJ427" s="4"/>
      <c r="BK427" s="4"/>
      <c r="BL427" s="4"/>
      <c r="BM427" s="4"/>
      <c r="BN427" s="4"/>
      <c r="BO427" s="4"/>
      <c r="BP427" s="4"/>
      <c r="BQ427" s="4"/>
      <c r="BR427" s="4"/>
      <c r="BS427" s="4"/>
      <c r="BT427" s="4"/>
      <c r="BU427" s="4"/>
      <c r="BV427" s="4"/>
      <c r="BW427" s="4"/>
      <c r="BX427" s="4"/>
      <c r="BY427" s="4"/>
      <c r="BZ427" s="4"/>
      <c r="CA427" s="4"/>
      <c r="CB427" s="4"/>
      <c r="CC427" s="4"/>
      <c r="CD427" s="4"/>
      <c r="CE427" s="4"/>
      <c r="CF427" s="4"/>
      <c r="CG427" s="4"/>
      <c r="CH427" s="4"/>
      <c r="CI427" s="4"/>
      <c r="CJ427" s="4"/>
      <c r="CK427" s="19">
        <f>IF(BQ427&gt;0,BQ427,W427)</f>
        <v>52000</v>
      </c>
      <c r="CL427" s="20">
        <f>IF(BS427&gt;0,BS427,Y427)</f>
        <v>2</v>
      </c>
      <c r="CM427" s="34">
        <f>IF(CG427&gt;0,CG427,AM427)</f>
        <v>324110</v>
      </c>
      <c r="CN427" s="80">
        <f>IF($BH427="",1,COUNTIF($BH$3:$BH427,$BH427))</f>
        <v>1</v>
      </c>
      <c r="CO427"/>
      <c r="CP427" t="str">
        <f>IF($K427="Standard Match","Match",IF($K427="Name Only Match",IF($CO427="Yes","Match","Name Only Match"),"No Match"))</f>
        <v>Match</v>
      </c>
      <c r="CQ427" s="35" t="str">
        <f>IF(AND(CP427="Match",CK427&gt;0,CL427&gt;0),"Y","N")</f>
        <v>Y</v>
      </c>
      <c r="CR427"/>
      <c r="CS427" t="str">
        <f>IF($CQ427="Y",VLOOKUP($CM427,'SBA Size Standards'!$B$3:$G$57,MATCH('SBA Size Standards'!$G$3,'SBA Size Standards'!$B$3:$G$3,0),FALSE),"")</f>
        <v>Employment</v>
      </c>
      <c r="CT427" s="60" t="str">
        <f>IF(CQ427="Y",IF($CS427="Employment","N/A",VLOOKUP($CM427,'SBA Size Standards'!$B$3:$G$57,MATCH('SBA Size Standards'!$E$3,'SBA Size Standards'!$B$3:$G$3,0),FALSE)),"")</f>
        <v>N/A</v>
      </c>
      <c r="CU427" s="86">
        <f>IF($CQ427="Y",IF($CS427="Revenue","N/A",VLOOKUP($CM427,'SBA Size Standards'!$B$3:$G$57,MATCH('SBA Size Standards'!$F$3,'SBA Size Standards'!$B$3:$G$3,0),FALSE)),"")</f>
        <v>1500</v>
      </c>
      <c r="CV427" t="str">
        <f>IF($CQ427="Y",IF(OR(AND($CS427="Employment",$CL427&lt;$CU427),AND($CS427="Revenue",$CK427&lt;$CT427)),"YES","NO"),"")</f>
        <v>YES</v>
      </c>
      <c r="CW427" s="90" t="str">
        <f>IF($CQ427="Y",INDEX('SBA Size Standards'!$N$3:$N$12,MATCH($CK427,'SBA Size Standards'!$O$3:$O$12,1)),"")</f>
        <v>$50,001 - $100,000</v>
      </c>
      <c r="CX427" s="122" t="s">
        <v>4889</v>
      </c>
      <c r="CY427" s="122">
        <f>INDEX('NM O&amp;G Production'!$P$3:$P$537,MATCH(CX427,'NM O&amp;G Production'!$Q$3:$Q$537,0))</f>
        <v>384</v>
      </c>
      <c r="CZ427" s="122" t="str">
        <f>INDEX('NM O&amp;G Production'!$O$3:$O$537,MATCH(CY427,'NM O&amp;G Production'!$P$3:$P$537,0))</f>
        <v>Yes</v>
      </c>
      <c r="DA427" s="127">
        <f>INDEX('NM O&amp;G Production'!$K$3:$O$537,MATCH($CY427,'NM O&amp;G Production'!$P$3:$P$537,0),MATCH(DA$2,'NM O&amp;G Production'!$K$2:$O$2,0))</f>
        <v>0</v>
      </c>
      <c r="DB427" s="127">
        <f>INDEX('NM O&amp;G Production'!$K$3:$O$537,MATCH($CY427,'NM O&amp;G Production'!$P$3:$P$537,0),MATCH(DB$2,'NM O&amp;G Production'!$K$2:$O$2,0))</f>
        <v>1</v>
      </c>
      <c r="DC427" s="127">
        <f>DA427+DB427</f>
        <v>1</v>
      </c>
      <c r="DD427" s="127">
        <f>INDEX('NM O&amp;G Production'!$K$3:$O$537,MATCH($CY427,'NM O&amp;G Production'!$P$3:$P$537,0),MATCH(DD$2,'NM O&amp;G Production'!$K$2:$O$2,0))</f>
        <v>3309</v>
      </c>
      <c r="DE427" s="127">
        <f>INDEX('NM O&amp;G Production'!$K$3:$O$537,MATCH($CY427,'NM O&amp;G Production'!$P$3:$P$537,0),MATCH(DE$2,'NM O&amp;G Production'!$K$2:$O$2,0))</f>
        <v>287</v>
      </c>
      <c r="DF427" s="258">
        <f>CK427/(DB427+DA427)</f>
        <v>52000</v>
      </c>
      <c r="DG427" s="57">
        <f>DD427*(12/18)*1.06*'Oil and Gas Prices'!$C$18</f>
        <v>5588.6804000000002</v>
      </c>
      <c r="DH427" s="284">
        <f>DE427*(12/18)*'Oil and Gas Prices'!$C$4</f>
        <v>8610</v>
      </c>
      <c r="DI427" s="284">
        <f>DG427+DH427</f>
        <v>14198.680400000001</v>
      </c>
      <c r="DJ427" s="57">
        <f>(DG427+DH427)/(DA427+DB427)</f>
        <v>14198.680400000001</v>
      </c>
      <c r="DK427" s="321"/>
    </row>
    <row r="428" spans="1:115" x14ac:dyDescent="0.25">
      <c r="A428" t="s">
        <v>2789</v>
      </c>
      <c r="B428" t="s">
        <v>2755</v>
      </c>
      <c r="D428" t="s">
        <v>123</v>
      </c>
      <c r="E428" t="s">
        <v>84</v>
      </c>
      <c r="F428">
        <v>87499</v>
      </c>
      <c r="G428" t="s">
        <v>62</v>
      </c>
      <c r="I428">
        <v>404</v>
      </c>
      <c r="J428" t="s">
        <v>63</v>
      </c>
      <c r="K428" t="s">
        <v>4133</v>
      </c>
      <c r="L428" t="s">
        <v>279</v>
      </c>
      <c r="M428">
        <v>8</v>
      </c>
      <c r="N428" t="s">
        <v>2790</v>
      </c>
      <c r="O428" t="s">
        <v>2791</v>
      </c>
      <c r="Q428" t="s">
        <v>2792</v>
      </c>
      <c r="R428" t="s">
        <v>123</v>
      </c>
      <c r="S428" t="s">
        <v>214</v>
      </c>
      <c r="T428" t="s">
        <v>2793</v>
      </c>
      <c r="U428" t="s">
        <v>62</v>
      </c>
      <c r="W428" s="1">
        <v>51680</v>
      </c>
      <c r="X428">
        <v>1</v>
      </c>
      <c r="Y428">
        <v>1</v>
      </c>
      <c r="Z428">
        <v>2016</v>
      </c>
      <c r="AA428" t="s">
        <v>70</v>
      </c>
      <c r="AB428" t="s">
        <v>2794</v>
      </c>
      <c r="AC428" t="s">
        <v>231</v>
      </c>
      <c r="AD428" t="s">
        <v>733</v>
      </c>
      <c r="AE428">
        <v>7812</v>
      </c>
      <c r="AF428" t="s">
        <v>734</v>
      </c>
      <c r="AI428">
        <v>78120000</v>
      </c>
      <c r="AJ428" t="s">
        <v>735</v>
      </c>
      <c r="AM428">
        <v>512110</v>
      </c>
      <c r="AN428" t="s">
        <v>734</v>
      </c>
      <c r="AQ428" t="s">
        <v>75</v>
      </c>
      <c r="AT428" t="s">
        <v>76</v>
      </c>
      <c r="BF428">
        <v>0</v>
      </c>
      <c r="BG428">
        <v>0</v>
      </c>
      <c r="CK428" s="19">
        <f>IF(BQ428&gt;0,BQ428,W428)</f>
        <v>51680</v>
      </c>
      <c r="CL428" s="20">
        <f>IF(BS428&gt;0,BS428,Y428)</f>
        <v>1</v>
      </c>
      <c r="CM428" s="34">
        <f>IF(CG428&gt;0,CG428,AM428)</f>
        <v>512110</v>
      </c>
      <c r="CN428" s="80">
        <f>IF($BH428="",1,COUNTIF($BH$3:$BH428,$BH428))</f>
        <v>1</v>
      </c>
      <c r="CP428" t="str">
        <f>IF($K428="Standard Match","Match",IF($K428="Name Only Match",IF($CO428="Yes","Match","Name Only Match"),"No Match"))</f>
        <v>Match</v>
      </c>
      <c r="CQ428" s="35" t="str">
        <f>IF(AND(CP428="Match",CK428&gt;0,CL428&gt;0),"Y","N")</f>
        <v>Y</v>
      </c>
      <c r="CS428" t="str">
        <f>IF($CQ428="Y",VLOOKUP($CM428,'SBA Size Standards'!$B$3:$G$57,MATCH('SBA Size Standards'!$G$3,'SBA Size Standards'!$B$3:$G$3,0),FALSE),"")</f>
        <v>Revenue</v>
      </c>
      <c r="CT428" s="60">
        <f>IF(CQ428="Y",IF($CS428="Employment","N/A",VLOOKUP($CM428,'SBA Size Standards'!$B$3:$G$57,MATCH('SBA Size Standards'!$E$3,'SBA Size Standards'!$B$3:$G$3,0),FALSE)),"")</f>
        <v>35000000</v>
      </c>
      <c r="CU428" s="86" t="str">
        <f>IF($CQ428="Y",IF($CS428="Revenue","N/A",VLOOKUP($CM428,'SBA Size Standards'!$B$3:$G$57,MATCH('SBA Size Standards'!$F$3,'SBA Size Standards'!$B$3:$G$3,0),FALSE)),"")</f>
        <v>N/A</v>
      </c>
      <c r="CV428" t="str">
        <f>IF($CQ428="Y",IF(OR(AND($CS428="Employment",$CL428&lt;$CU428),AND($CS428="Revenue",$CK428&lt;$CT428)),"YES","NO"),"")</f>
        <v>YES</v>
      </c>
      <c r="CW428" s="90" t="str">
        <f>IF($CQ428="Y",INDEX('SBA Size Standards'!$N$3:$N$12,MATCH($CK428,'SBA Size Standards'!$O$3:$O$12,1)),"")</f>
        <v>$50,001 - $100,000</v>
      </c>
      <c r="CX428" s="122" t="s">
        <v>4894</v>
      </c>
      <c r="CY428" s="122">
        <f>INDEX('NM O&amp;G Production'!$P$3:$P$537,MATCH(CX428,'NM O&amp;G Production'!$Q$3:$Q$537,0))</f>
        <v>404</v>
      </c>
      <c r="CZ428" s="122" t="str">
        <f>INDEX('NM O&amp;G Production'!$O$3:$O$537,MATCH(CY428,'NM O&amp;G Production'!$P$3:$P$537,0))</f>
        <v>Yes</v>
      </c>
      <c r="DA428" s="127">
        <f>INDEX('NM O&amp;G Production'!$K$3:$O$537,MATCH($CY428,'NM O&amp;G Production'!$P$3:$P$537,0),MATCH(DA$2,'NM O&amp;G Production'!$K$2:$O$2,0))</f>
        <v>10</v>
      </c>
      <c r="DB428" s="127">
        <f>INDEX('NM O&amp;G Production'!$K$3:$O$537,MATCH($CY428,'NM O&amp;G Production'!$P$3:$P$537,0),MATCH(DB$2,'NM O&amp;G Production'!$K$2:$O$2,0))</f>
        <v>49</v>
      </c>
      <c r="DC428" s="127">
        <f>DA428+DB428</f>
        <v>59</v>
      </c>
      <c r="DD428" s="127">
        <f>INDEX('NM O&amp;G Production'!$K$3:$O$537,MATCH($CY428,'NM O&amp;G Production'!$P$3:$P$537,0),MATCH(DD$2,'NM O&amp;G Production'!$K$2:$O$2,0))</f>
        <v>1005769</v>
      </c>
      <c r="DE428" s="127">
        <f>INDEX('NM O&amp;G Production'!$K$3:$O$537,MATCH($CY428,'NM O&amp;G Production'!$P$3:$P$537,0),MATCH(DE$2,'NM O&amp;G Production'!$K$2:$O$2,0))</f>
        <v>12799</v>
      </c>
      <c r="DF428" s="258">
        <f>CK428/(DB428+DA428)</f>
        <v>875.93220338983053</v>
      </c>
      <c r="DG428" s="57">
        <f>DD428*(12/18)*1.06*'Oil and Gas Prices'!$C$18</f>
        <v>1698676.7897333333</v>
      </c>
      <c r="DH428" s="284">
        <f>DE428*(12/18)*'Oil and Gas Prices'!$C$4</f>
        <v>383970</v>
      </c>
      <c r="DI428" s="284">
        <f>DG428+DH428</f>
        <v>2082646.7897333333</v>
      </c>
      <c r="DJ428" s="57">
        <f>(DG428+DH428)/(DA428+DB428)</f>
        <v>35299.098131073442</v>
      </c>
      <c r="DK428" s="318"/>
    </row>
    <row r="429" spans="1:115" x14ac:dyDescent="0.25">
      <c r="A429" t="s">
        <v>1793</v>
      </c>
      <c r="B429" t="s">
        <v>1794</v>
      </c>
      <c r="D429" t="s">
        <v>123</v>
      </c>
      <c r="E429" t="s">
        <v>84</v>
      </c>
      <c r="F429">
        <v>87499</v>
      </c>
      <c r="G429" t="s">
        <v>62</v>
      </c>
      <c r="I429">
        <v>247</v>
      </c>
      <c r="J429" t="s">
        <v>89</v>
      </c>
      <c r="K429" t="s">
        <v>4133</v>
      </c>
      <c r="L429" t="s">
        <v>279</v>
      </c>
      <c r="M429">
        <v>8</v>
      </c>
      <c r="N429" t="s">
        <v>1795</v>
      </c>
      <c r="O429" t="s">
        <v>1796</v>
      </c>
      <c r="Q429" t="s">
        <v>1797</v>
      </c>
      <c r="R429" t="s">
        <v>123</v>
      </c>
      <c r="S429" t="s">
        <v>214</v>
      </c>
      <c r="T429">
        <v>87499</v>
      </c>
      <c r="U429" t="s">
        <v>62</v>
      </c>
      <c r="V429">
        <v>5053240766</v>
      </c>
      <c r="W429" s="1">
        <v>50000</v>
      </c>
      <c r="X429">
        <v>2</v>
      </c>
      <c r="Y429">
        <v>2</v>
      </c>
      <c r="Z429">
        <v>1995</v>
      </c>
      <c r="AA429" t="s">
        <v>70</v>
      </c>
      <c r="AB429" t="s">
        <v>1798</v>
      </c>
      <c r="AC429" t="s">
        <v>145</v>
      </c>
      <c r="AD429" t="s">
        <v>99</v>
      </c>
      <c r="AE429">
        <v>1311</v>
      </c>
      <c r="AF429" t="s">
        <v>100</v>
      </c>
      <c r="AI429">
        <v>13110100</v>
      </c>
      <c r="AJ429" t="s">
        <v>411</v>
      </c>
      <c r="AM429">
        <v>211120</v>
      </c>
      <c r="AN429" t="s">
        <v>104</v>
      </c>
      <c r="AQ429" t="s">
        <v>75</v>
      </c>
      <c r="AT429" t="s">
        <v>76</v>
      </c>
      <c r="BF429">
        <v>0</v>
      </c>
      <c r="BG429">
        <v>0</v>
      </c>
      <c r="CK429" s="19">
        <f>IF(BQ429&gt;0,BQ429,W429)</f>
        <v>50000</v>
      </c>
      <c r="CL429" s="20">
        <f>IF(BS429&gt;0,BS429,Y429)</f>
        <v>2</v>
      </c>
      <c r="CM429" s="34">
        <f>IF(CG429&gt;0,CG429,AM429)</f>
        <v>211120</v>
      </c>
      <c r="CN429" s="80">
        <f>IF($BH429="",1,COUNTIF($BH$3:$BH429,$BH429))</f>
        <v>1</v>
      </c>
      <c r="CP429" t="str">
        <f>IF($K429="Standard Match","Match",IF($K429="Name Only Match",IF($CO429="Yes","Match","Name Only Match"),"No Match"))</f>
        <v>Match</v>
      </c>
      <c r="CQ429" s="35" t="str">
        <f>IF(AND(CP429="Match",CK429&gt;0,CL429&gt;0),"Y","N")</f>
        <v>Y</v>
      </c>
      <c r="CS429" t="str">
        <f>IF($CQ429="Y",VLOOKUP($CM429,'SBA Size Standards'!$B$3:$G$57,MATCH('SBA Size Standards'!$G$3,'SBA Size Standards'!$B$3:$G$3,0),FALSE),"")</f>
        <v>Employment</v>
      </c>
      <c r="CT429" s="60" t="str">
        <f>IF(CQ429="Y",IF($CS429="Employment","N/A",VLOOKUP($CM429,'SBA Size Standards'!$B$3:$G$57,MATCH('SBA Size Standards'!$E$3,'SBA Size Standards'!$B$3:$G$3,0),FALSE)),"")</f>
        <v>N/A</v>
      </c>
      <c r="CU429" s="86">
        <f>IF($CQ429="Y",IF($CS429="Revenue","N/A",VLOOKUP($CM429,'SBA Size Standards'!$B$3:$G$57,MATCH('SBA Size Standards'!$F$3,'SBA Size Standards'!$B$3:$G$3,0),FALSE)),"")</f>
        <v>1250</v>
      </c>
      <c r="CV429" t="str">
        <f>IF($CQ429="Y",IF(OR(AND($CS429="Employment",$CL429&lt;$CU429),AND($CS429="Revenue",$CK429&lt;$CT429)),"YES","NO"),"")</f>
        <v>YES</v>
      </c>
      <c r="CW429" s="90" t="str">
        <f>IF($CQ429="Y",INDEX('SBA Size Standards'!$N$3:$N$12,MATCH($CK429,'SBA Size Standards'!$O$3:$O$12,1)),"")</f>
        <v>&lt; $50,001</v>
      </c>
      <c r="CX429" s="122" t="s">
        <v>4854</v>
      </c>
      <c r="CY429" s="122">
        <f>INDEX('NM O&amp;G Production'!$P$3:$P$537,MATCH(CX429,'NM O&amp;G Production'!$Q$3:$Q$537,0))</f>
        <v>247</v>
      </c>
      <c r="CZ429" s="122" t="str">
        <f>INDEX('NM O&amp;G Production'!$O$3:$O$537,MATCH(CY429,'NM O&amp;G Production'!$P$3:$P$537,0))</f>
        <v>Yes</v>
      </c>
      <c r="DA429" s="127">
        <f>INDEX('NM O&amp;G Production'!$K$3:$O$537,MATCH($CY429,'NM O&amp;G Production'!$P$3:$P$537,0),MATCH(DA$2,'NM O&amp;G Production'!$K$2:$O$2,0))</f>
        <v>0</v>
      </c>
      <c r="DB429" s="127">
        <f>INDEX('NM O&amp;G Production'!$K$3:$O$537,MATCH($CY429,'NM O&amp;G Production'!$P$3:$P$537,0),MATCH(DB$2,'NM O&amp;G Production'!$K$2:$O$2,0))</f>
        <v>1</v>
      </c>
      <c r="DC429" s="127">
        <f>DA429+DB429</f>
        <v>1</v>
      </c>
      <c r="DD429" s="127">
        <f>INDEX('NM O&amp;G Production'!$K$3:$O$537,MATCH($CY429,'NM O&amp;G Production'!$P$3:$P$537,0),MATCH(DD$2,'NM O&amp;G Production'!$K$2:$O$2,0))</f>
        <v>0</v>
      </c>
      <c r="DE429" s="127">
        <f>INDEX('NM O&amp;G Production'!$K$3:$O$537,MATCH($CY429,'NM O&amp;G Production'!$P$3:$P$537,0),MATCH(DE$2,'NM O&amp;G Production'!$K$2:$O$2,0))</f>
        <v>507</v>
      </c>
      <c r="DF429" s="258">
        <f>CK429/(DB429+DA429)</f>
        <v>50000</v>
      </c>
      <c r="DG429" s="57">
        <f>DD429*(12/18)*1.06*'Oil and Gas Prices'!$C$18</f>
        <v>0</v>
      </c>
      <c r="DH429" s="284">
        <f>DE429*(12/18)*'Oil and Gas Prices'!$C$4</f>
        <v>15210</v>
      </c>
      <c r="DI429" s="284">
        <f>DG429+DH429</f>
        <v>15210</v>
      </c>
      <c r="DJ429" s="57">
        <f>(DG429+DH429)/(DA429+DB429)</f>
        <v>15210</v>
      </c>
      <c r="DK429" s="318"/>
    </row>
    <row r="430" spans="1:115" s="21" customFormat="1" x14ac:dyDescent="0.25">
      <c r="A430" t="s">
        <v>788</v>
      </c>
      <c r="B430" t="s">
        <v>789</v>
      </c>
      <c r="C430"/>
      <c r="D430" t="s">
        <v>153</v>
      </c>
      <c r="E430" t="s">
        <v>80</v>
      </c>
      <c r="F430">
        <v>79710</v>
      </c>
      <c r="G430" t="s">
        <v>62</v>
      </c>
      <c r="H430"/>
      <c r="I430">
        <v>99</v>
      </c>
      <c r="J430" t="s">
        <v>404</v>
      </c>
      <c r="K430" t="s">
        <v>4133</v>
      </c>
      <c r="L430" t="s">
        <v>279</v>
      </c>
      <c r="M430">
        <v>8</v>
      </c>
      <c r="N430" t="s">
        <v>790</v>
      </c>
      <c r="O430" t="s">
        <v>791</v>
      </c>
      <c r="P430"/>
      <c r="Q430" t="s">
        <v>792</v>
      </c>
      <c r="R430" t="s">
        <v>153</v>
      </c>
      <c r="S430" t="s">
        <v>94</v>
      </c>
      <c r="T430" t="s">
        <v>793</v>
      </c>
      <c r="U430" t="s">
        <v>62</v>
      </c>
      <c r="V430"/>
      <c r="W430" s="1">
        <v>41950</v>
      </c>
      <c r="X430">
        <v>2</v>
      </c>
      <c r="Y430">
        <v>2</v>
      </c>
      <c r="Z430"/>
      <c r="AA430" t="s">
        <v>70</v>
      </c>
      <c r="AB430" t="s">
        <v>794</v>
      </c>
      <c r="AC430" t="s">
        <v>145</v>
      </c>
      <c r="AD430" t="s">
        <v>505</v>
      </c>
      <c r="AE430">
        <v>8742</v>
      </c>
      <c r="AF430" t="s">
        <v>506</v>
      </c>
      <c r="AG430"/>
      <c r="AH430"/>
      <c r="AI430">
        <v>87420500</v>
      </c>
      <c r="AJ430" t="s">
        <v>538</v>
      </c>
      <c r="AK430"/>
      <c r="AL430"/>
      <c r="AM430">
        <v>541611</v>
      </c>
      <c r="AN430" t="s">
        <v>510</v>
      </c>
      <c r="AO430"/>
      <c r="AP430"/>
      <c r="AQ430" t="s">
        <v>75</v>
      </c>
      <c r="AR430"/>
      <c r="AS430"/>
      <c r="AT430" t="s">
        <v>76</v>
      </c>
      <c r="AU430"/>
      <c r="AV430"/>
      <c r="AW430"/>
      <c r="AX430"/>
      <c r="AY430"/>
      <c r="AZ430"/>
      <c r="BA430"/>
      <c r="BB430"/>
      <c r="BC430"/>
      <c r="BD430"/>
      <c r="BE430"/>
      <c r="BF430">
        <v>0</v>
      </c>
      <c r="BG430">
        <v>0</v>
      </c>
      <c r="BH430" s="4"/>
      <c r="BI430" s="4"/>
      <c r="BJ430" s="4"/>
      <c r="BK430" s="4"/>
      <c r="BL430" s="4"/>
      <c r="BM430" s="4"/>
      <c r="BN430" s="4"/>
      <c r="BO430" s="4"/>
      <c r="BP430" s="4"/>
      <c r="BQ430" s="4"/>
      <c r="BR430" s="4"/>
      <c r="BS430" s="4"/>
      <c r="BT430" s="4"/>
      <c r="BU430" s="4"/>
      <c r="BV430" s="4"/>
      <c r="BW430" s="4"/>
      <c r="BX430" s="4"/>
      <c r="BY430" s="4"/>
      <c r="BZ430" s="4"/>
      <c r="CA430" s="4"/>
      <c r="CB430" s="4"/>
      <c r="CC430" s="4"/>
      <c r="CD430" s="4"/>
      <c r="CE430" s="4"/>
      <c r="CF430" s="4"/>
      <c r="CG430" s="4"/>
      <c r="CH430" s="4"/>
      <c r="CI430" s="4"/>
      <c r="CJ430" s="4"/>
      <c r="CK430" s="19">
        <f>IF(BQ430&gt;0,BQ430,W430)</f>
        <v>41950</v>
      </c>
      <c r="CL430" s="20">
        <f>IF(BS430&gt;0,BS430,Y430)</f>
        <v>2</v>
      </c>
      <c r="CM430" s="34">
        <f>IF(CG430&gt;0,CG430,AM430)</f>
        <v>541611</v>
      </c>
      <c r="CN430" s="80">
        <f>IF($BH430="",1,COUNTIF($BH$3:$BH430,$BH430))</f>
        <v>1</v>
      </c>
      <c r="CO430"/>
      <c r="CP430" t="str">
        <f>IF($K430="Standard Match","Match",IF($K430="Name Only Match",IF($CO430="Yes","Match","Name Only Match"),"No Match"))</f>
        <v>Match</v>
      </c>
      <c r="CQ430" s="35" t="str">
        <f>IF(AND(CP430="Match",CK430&gt;0,CL430&gt;0),"Y","N")</f>
        <v>Y</v>
      </c>
      <c r="CR430"/>
      <c r="CS430" t="str">
        <f>IF($CQ430="Y",VLOOKUP($CM430,'SBA Size Standards'!$B$3:$G$57,MATCH('SBA Size Standards'!$G$3,'SBA Size Standards'!$B$3:$G$3,0),FALSE),"")</f>
        <v>Revenue</v>
      </c>
      <c r="CT430" s="60">
        <f>IF(CQ430="Y",IF($CS430="Employment","N/A",VLOOKUP($CM430,'SBA Size Standards'!$B$3:$G$57,MATCH('SBA Size Standards'!$E$3,'SBA Size Standards'!$B$3:$G$3,0),FALSE)),"")</f>
        <v>16500000</v>
      </c>
      <c r="CU430" s="86" t="str">
        <f>IF($CQ430="Y",IF($CS430="Revenue","N/A",VLOOKUP($CM430,'SBA Size Standards'!$B$3:$G$57,MATCH('SBA Size Standards'!$F$3,'SBA Size Standards'!$B$3:$G$3,0),FALSE)),"")</f>
        <v>N/A</v>
      </c>
      <c r="CV430" t="str">
        <f>IF($CQ430="Y",IF(OR(AND($CS430="Employment",$CL430&lt;$CU430),AND($CS430="Revenue",$CK430&lt;$CT430)),"YES","NO"),"")</f>
        <v>YES</v>
      </c>
      <c r="CW430" s="90" t="str">
        <f>IF($CQ430="Y",INDEX('SBA Size Standards'!$N$3:$N$12,MATCH($CK430,'SBA Size Standards'!$O$3:$O$12,1)),"")</f>
        <v>&lt; $50,001</v>
      </c>
      <c r="CX430" s="122" t="s">
        <v>4823</v>
      </c>
      <c r="CY430" s="122">
        <f>INDEX('NM O&amp;G Production'!$P$3:$P$537,MATCH(CX430,'NM O&amp;G Production'!$Q$3:$Q$537,0))</f>
        <v>99</v>
      </c>
      <c r="CZ430" s="122" t="str">
        <f>INDEX('NM O&amp;G Production'!$O$3:$O$537,MATCH(CY430,'NM O&amp;G Production'!$P$3:$P$537,0))</f>
        <v>Yes</v>
      </c>
      <c r="DA430" s="127">
        <f>INDEX('NM O&amp;G Production'!$K$3:$O$537,MATCH($CY430,'NM O&amp;G Production'!$P$3:$P$537,0),MATCH(DA$2,'NM O&amp;G Production'!$K$2:$O$2,0))</f>
        <v>4</v>
      </c>
      <c r="DB430" s="127">
        <f>INDEX('NM O&amp;G Production'!$K$3:$O$537,MATCH($CY430,'NM O&amp;G Production'!$P$3:$P$537,0),MATCH(DB$2,'NM O&amp;G Production'!$K$2:$O$2,0))</f>
        <v>0</v>
      </c>
      <c r="DC430" s="127">
        <f>DA430+DB430</f>
        <v>4</v>
      </c>
      <c r="DD430" s="127">
        <f>INDEX('NM O&amp;G Production'!$K$3:$O$537,MATCH($CY430,'NM O&amp;G Production'!$P$3:$P$537,0),MATCH(DD$2,'NM O&amp;G Production'!$K$2:$O$2,0))</f>
        <v>0</v>
      </c>
      <c r="DE430" s="127">
        <f>INDEX('NM O&amp;G Production'!$K$3:$O$537,MATCH($CY430,'NM O&amp;G Production'!$P$3:$P$537,0),MATCH(DE$2,'NM O&amp;G Production'!$K$2:$O$2,0))</f>
        <v>5138</v>
      </c>
      <c r="DF430" s="258">
        <f>CK430/(DB430+DA430)</f>
        <v>10487.5</v>
      </c>
      <c r="DG430" s="57">
        <f>DD430*(12/18)*1.06*'Oil and Gas Prices'!$C$18</f>
        <v>0</v>
      </c>
      <c r="DH430" s="284">
        <f>DE430*(12/18)*'Oil and Gas Prices'!$C$4</f>
        <v>154140</v>
      </c>
      <c r="DI430" s="284">
        <f>DG430+DH430</f>
        <v>154140</v>
      </c>
      <c r="DJ430" s="57">
        <f>(DG430+DH430)/(DA430+DB430)</f>
        <v>38535</v>
      </c>
      <c r="DK430" s="318"/>
    </row>
    <row r="431" spans="1:115" x14ac:dyDescent="0.25">
      <c r="A431" t="s">
        <v>546</v>
      </c>
      <c r="B431" t="s">
        <v>547</v>
      </c>
      <c r="D431" t="s">
        <v>548</v>
      </c>
      <c r="E431" t="s">
        <v>84</v>
      </c>
      <c r="F431">
        <v>87417</v>
      </c>
      <c r="G431" t="s">
        <v>62</v>
      </c>
      <c r="I431">
        <v>67</v>
      </c>
      <c r="J431" t="s">
        <v>63</v>
      </c>
      <c r="K431" t="s">
        <v>4133</v>
      </c>
      <c r="L431" t="s">
        <v>64</v>
      </c>
      <c r="M431">
        <v>10</v>
      </c>
      <c r="N431" t="s">
        <v>549</v>
      </c>
      <c r="O431" t="s">
        <v>546</v>
      </c>
      <c r="Q431" t="s">
        <v>547</v>
      </c>
      <c r="R431" t="s">
        <v>548</v>
      </c>
      <c r="S431" t="s">
        <v>214</v>
      </c>
      <c r="T431" t="s">
        <v>550</v>
      </c>
      <c r="U431" t="s">
        <v>62</v>
      </c>
      <c r="V431">
        <v>5055985601</v>
      </c>
      <c r="W431" s="1">
        <v>39866</v>
      </c>
      <c r="X431">
        <v>2</v>
      </c>
      <c r="Y431">
        <v>2</v>
      </c>
      <c r="Z431">
        <v>2014</v>
      </c>
      <c r="AA431" t="s">
        <v>70</v>
      </c>
      <c r="AD431" t="s">
        <v>551</v>
      </c>
      <c r="AE431">
        <v>8711</v>
      </c>
      <c r="AF431" t="s">
        <v>507</v>
      </c>
      <c r="AI431">
        <v>87110000</v>
      </c>
      <c r="AJ431" t="s">
        <v>509</v>
      </c>
      <c r="AM431">
        <v>541330</v>
      </c>
      <c r="AN431" t="s">
        <v>507</v>
      </c>
      <c r="AQ431" t="s">
        <v>75</v>
      </c>
      <c r="AT431" t="s">
        <v>76</v>
      </c>
      <c r="BF431">
        <v>0</v>
      </c>
      <c r="BG431">
        <v>0</v>
      </c>
      <c r="CK431" s="19">
        <f>IF(BQ431&gt;0,BQ431,W431)</f>
        <v>39866</v>
      </c>
      <c r="CL431" s="20">
        <f>IF(BS431&gt;0,BS431,Y431)</f>
        <v>2</v>
      </c>
      <c r="CM431" s="34">
        <f>IF(CG431&gt;0,CG431,AM431)</f>
        <v>541330</v>
      </c>
      <c r="CN431" s="80">
        <f>IF($BH431="",1,COUNTIF($BH$3:$BH431,$BH431))</f>
        <v>1</v>
      </c>
      <c r="CP431" t="str">
        <f>IF($K431="Standard Match","Match",IF($K431="Name Only Match",IF($CO431="Yes","Match","Name Only Match"),"No Match"))</f>
        <v>Match</v>
      </c>
      <c r="CQ431" s="35" t="str">
        <f>IF(AND(CP431="Match",CK431&gt;0,CL431&gt;0),"Y","N")</f>
        <v>Y</v>
      </c>
      <c r="CS431" t="str">
        <f>IF($CQ431="Y",VLOOKUP($CM431,'SBA Size Standards'!$B$3:$G$57,MATCH('SBA Size Standards'!$G$3,'SBA Size Standards'!$B$3:$G$3,0),FALSE),"")</f>
        <v>Revenue</v>
      </c>
      <c r="CT431" s="60">
        <f>IF(CQ431="Y",IF($CS431="Employment","N/A",VLOOKUP($CM431,'SBA Size Standards'!$B$3:$G$57,MATCH('SBA Size Standards'!$E$3,'SBA Size Standards'!$B$3:$G$3,0),FALSE)),"")</f>
        <v>16500000</v>
      </c>
      <c r="CU431" s="86" t="str">
        <f>IF($CQ431="Y",IF($CS431="Revenue","N/A",VLOOKUP($CM431,'SBA Size Standards'!$B$3:$G$57,MATCH('SBA Size Standards'!$F$3,'SBA Size Standards'!$B$3:$G$3,0),FALSE)),"")</f>
        <v>N/A</v>
      </c>
      <c r="CV431" t="str">
        <f>IF($CQ431="Y",IF(OR(AND($CS431="Employment",$CL431&lt;$CU431),AND($CS431="Revenue",$CK431&lt;$CT431)),"YES","NO"),"")</f>
        <v>YES</v>
      </c>
      <c r="CW431" s="90" t="str">
        <f>IF($CQ431="Y",INDEX('SBA Size Standards'!$N$3:$N$12,MATCH($CK431,'SBA Size Standards'!$O$3:$O$12,1)),"")</f>
        <v>&lt; $50,001</v>
      </c>
      <c r="CX431" s="122" t="s">
        <v>4562</v>
      </c>
      <c r="CY431" s="122">
        <f>INDEX('NM O&amp;G Production'!$P$3:$P$537,MATCH(CX431,'NM O&amp;G Production'!$Q$3:$Q$537,0))</f>
        <v>67</v>
      </c>
      <c r="CZ431" s="122" t="str">
        <f>INDEX('NM O&amp;G Production'!$O$3:$O$537,MATCH(CY431,'NM O&amp;G Production'!$P$3:$P$537,0))</f>
        <v>No</v>
      </c>
      <c r="DA431" s="127">
        <f>INDEX('NM O&amp;G Production'!$K$3:$O$537,MATCH($CY431,'NM O&amp;G Production'!$P$3:$P$537,0),MATCH(DA$2,'NM O&amp;G Production'!$K$2:$O$2,0))</f>
        <v>0</v>
      </c>
      <c r="DB431" s="127">
        <f>INDEX('NM O&amp;G Production'!$K$3:$O$537,MATCH($CY431,'NM O&amp;G Production'!$P$3:$P$537,0),MATCH(DB$2,'NM O&amp;G Production'!$K$2:$O$2,0))</f>
        <v>0</v>
      </c>
      <c r="DC431" s="127"/>
      <c r="DD431" s="127">
        <f>INDEX('NM O&amp;G Production'!$K$3:$O$537,MATCH($CY431,'NM O&amp;G Production'!$P$3:$P$537,0),MATCH(DD$2,'NM O&amp;G Production'!$K$2:$O$2,0))</f>
        <v>0</v>
      </c>
      <c r="DE431" s="127">
        <f>INDEX('NM O&amp;G Production'!$K$3:$O$537,MATCH($CY431,'NM O&amp;G Production'!$P$3:$P$537,0),MATCH(DE$2,'NM O&amp;G Production'!$K$2:$O$2,0))</f>
        <v>0</v>
      </c>
      <c r="DF431" s="258" t="e">
        <f>CK431/(DB431+DA431)</f>
        <v>#DIV/0!</v>
      </c>
      <c r="DG431" s="57">
        <f>DD431*(12/18)*1.06*'Oil and Gas Prices'!$C$18</f>
        <v>0</v>
      </c>
      <c r="DH431" s="284">
        <f>DE431*(12/18)*'Oil and Gas Prices'!$C$4</f>
        <v>0</v>
      </c>
      <c r="DI431" s="284"/>
      <c r="DJ431" s="57" t="e">
        <f>(DG431+DH431)/(DA431+DB431)</f>
        <v>#DIV/0!</v>
      </c>
      <c r="DK431" s="18" t="e">
        <f>CK431/DI431</f>
        <v>#DIV/0!</v>
      </c>
    </row>
    <row r="432" spans="1:115" x14ac:dyDescent="0.25">
      <c r="A432" t="s">
        <v>530</v>
      </c>
      <c r="B432" t="s">
        <v>531</v>
      </c>
      <c r="D432" t="s">
        <v>532</v>
      </c>
      <c r="E432" t="s">
        <v>80</v>
      </c>
      <c r="F432">
        <v>78259</v>
      </c>
      <c r="G432" t="s">
        <v>62</v>
      </c>
      <c r="I432">
        <v>65</v>
      </c>
      <c r="J432" t="s">
        <v>63</v>
      </c>
      <c r="K432" t="s">
        <v>4133</v>
      </c>
      <c r="L432" t="s">
        <v>64</v>
      </c>
      <c r="M432">
        <v>10</v>
      </c>
      <c r="N432" t="s">
        <v>533</v>
      </c>
      <c r="O432" t="s">
        <v>534</v>
      </c>
      <c r="Q432" t="s">
        <v>535</v>
      </c>
      <c r="R432" t="s">
        <v>532</v>
      </c>
      <c r="S432" t="s">
        <v>94</v>
      </c>
      <c r="T432" t="s">
        <v>536</v>
      </c>
      <c r="U432" t="s">
        <v>62</v>
      </c>
      <c r="V432">
        <v>2109077155</v>
      </c>
      <c r="W432" s="1">
        <v>38136</v>
      </c>
      <c r="X432">
        <v>1</v>
      </c>
      <c r="Y432">
        <v>1</v>
      </c>
      <c r="Z432">
        <v>2018</v>
      </c>
      <c r="AA432" t="s">
        <v>70</v>
      </c>
      <c r="AB432" t="s">
        <v>537</v>
      </c>
      <c r="AC432" t="s">
        <v>231</v>
      </c>
      <c r="AD432" t="s">
        <v>505</v>
      </c>
      <c r="AE432">
        <v>8742</v>
      </c>
      <c r="AF432" t="s">
        <v>506</v>
      </c>
      <c r="AI432">
        <v>87420500</v>
      </c>
      <c r="AJ432" t="s">
        <v>538</v>
      </c>
      <c r="AM432">
        <v>541611</v>
      </c>
      <c r="AN432" t="s">
        <v>510</v>
      </c>
      <c r="AQ432" t="s">
        <v>75</v>
      </c>
      <c r="AT432" t="s">
        <v>76</v>
      </c>
      <c r="BF432">
        <v>0</v>
      </c>
      <c r="BG432">
        <v>0</v>
      </c>
      <c r="CK432" s="19">
        <f>IF(BQ432&gt;0,BQ432,W432)</f>
        <v>38136</v>
      </c>
      <c r="CL432" s="20">
        <f>IF(BS432&gt;0,BS432,Y432)</f>
        <v>1</v>
      </c>
      <c r="CM432" s="34">
        <f>IF(CG432&gt;0,CG432,AM432)</f>
        <v>541611</v>
      </c>
      <c r="CN432" s="80">
        <f>IF($BH432="",1,COUNTIF($BH$3:$BH432,$BH432))</f>
        <v>1</v>
      </c>
      <c r="CP432" t="str">
        <f>IF($K432="Standard Match","Match",IF($K432="Name Only Match",IF($CO432="Yes","Match","Name Only Match"),"No Match"))</f>
        <v>Match</v>
      </c>
      <c r="CQ432" s="35" t="str">
        <f>IF(AND(CP432="Match",CK432&gt;0,CL432&gt;0),"Y","N")</f>
        <v>Y</v>
      </c>
      <c r="CS432" t="str">
        <f>IF($CQ432="Y",VLOOKUP($CM432,'SBA Size Standards'!$B$3:$G$57,MATCH('SBA Size Standards'!$G$3,'SBA Size Standards'!$B$3:$G$3,0),FALSE),"")</f>
        <v>Revenue</v>
      </c>
      <c r="CT432" s="60">
        <f>IF(CQ432="Y",IF($CS432="Employment","N/A",VLOOKUP($CM432,'SBA Size Standards'!$B$3:$G$57,MATCH('SBA Size Standards'!$E$3,'SBA Size Standards'!$B$3:$G$3,0),FALSE)),"")</f>
        <v>16500000</v>
      </c>
      <c r="CU432" s="86" t="str">
        <f>IF($CQ432="Y",IF($CS432="Revenue","N/A",VLOOKUP($CM432,'SBA Size Standards'!$B$3:$G$57,MATCH('SBA Size Standards'!$F$3,'SBA Size Standards'!$B$3:$G$3,0),FALSE)),"")</f>
        <v>N/A</v>
      </c>
      <c r="CV432" t="str">
        <f>IF($CQ432="Y",IF(OR(AND($CS432="Employment",$CL432&lt;$CU432),AND($CS432="Revenue",$CK432&lt;$CT432)),"YES","NO"),"")</f>
        <v>YES</v>
      </c>
      <c r="CW432" s="90" t="str">
        <f>IF($CQ432="Y",INDEX('SBA Size Standards'!$N$3:$N$12,MATCH($CK432,'SBA Size Standards'!$O$3:$O$12,1)),"")</f>
        <v>&lt; $50,001</v>
      </c>
      <c r="CX432" s="122" t="s">
        <v>4560</v>
      </c>
      <c r="CY432" s="122">
        <f>INDEX('NM O&amp;G Production'!$P$3:$P$537,MATCH(CX432,'NM O&amp;G Production'!$Q$3:$Q$537,0))</f>
        <v>65</v>
      </c>
      <c r="CZ432" s="122" t="str">
        <f>INDEX('NM O&amp;G Production'!$O$3:$O$537,MATCH(CY432,'NM O&amp;G Production'!$P$3:$P$537,0))</f>
        <v>Yes</v>
      </c>
      <c r="DA432" s="127">
        <f>INDEX('NM O&amp;G Production'!$K$3:$O$537,MATCH($CY432,'NM O&amp;G Production'!$P$3:$P$537,0),MATCH(DA$2,'NM O&amp;G Production'!$K$2:$O$2,0))</f>
        <v>25</v>
      </c>
      <c r="DB432" s="127">
        <f>INDEX('NM O&amp;G Production'!$K$3:$O$537,MATCH($CY432,'NM O&amp;G Production'!$P$3:$P$537,0),MATCH(DB$2,'NM O&amp;G Production'!$K$2:$O$2,0))</f>
        <v>24</v>
      </c>
      <c r="DC432" s="127">
        <f>DA432+DB432</f>
        <v>49</v>
      </c>
      <c r="DD432" s="127">
        <f>INDEX('NM O&amp;G Production'!$K$3:$O$537,MATCH($CY432,'NM O&amp;G Production'!$P$3:$P$537,0),MATCH(DD$2,'NM O&amp;G Production'!$K$2:$O$2,0))</f>
        <v>702624</v>
      </c>
      <c r="DE432" s="127">
        <f>INDEX('NM O&amp;G Production'!$K$3:$O$537,MATCH($CY432,'NM O&amp;G Production'!$P$3:$P$537,0),MATCH(DE$2,'NM O&amp;G Production'!$K$2:$O$2,0))</f>
        <v>412905</v>
      </c>
      <c r="DF432" s="258">
        <f>CK432/(DB432+DA432)</f>
        <v>778.28571428571433</v>
      </c>
      <c r="DG432" s="57">
        <f>DD432*(12/18)*1.06*'Oil and Gas Prices'!$C$18</f>
        <v>1186685.0944000001</v>
      </c>
      <c r="DH432" s="284">
        <f>DE432*(12/18)*'Oil and Gas Prices'!$C$4</f>
        <v>12387150</v>
      </c>
      <c r="DI432" s="284">
        <f>DG432+DH432</f>
        <v>13573835.0944</v>
      </c>
      <c r="DJ432" s="57">
        <f>(DG432+DH432)/(DA432+DB432)</f>
        <v>277017.04274285713</v>
      </c>
      <c r="DK432" s="318"/>
    </row>
    <row r="433" spans="1:115" s="21" customFormat="1" x14ac:dyDescent="0.25">
      <c r="A433" t="s">
        <v>2704</v>
      </c>
      <c r="B433" t="s">
        <v>2705</v>
      </c>
      <c r="C433"/>
      <c r="D433" t="s">
        <v>153</v>
      </c>
      <c r="E433" t="s">
        <v>80</v>
      </c>
      <c r="F433">
        <v>79701</v>
      </c>
      <c r="G433" t="s">
        <v>62</v>
      </c>
      <c r="H433"/>
      <c r="I433">
        <v>391</v>
      </c>
      <c r="J433" t="s">
        <v>63</v>
      </c>
      <c r="K433" t="s">
        <v>4133</v>
      </c>
      <c r="L433" t="s">
        <v>225</v>
      </c>
      <c r="M433">
        <v>8</v>
      </c>
      <c r="N433" t="s">
        <v>2706</v>
      </c>
      <c r="O433" t="s">
        <v>2707</v>
      </c>
      <c r="P433"/>
      <c r="Q433" t="s">
        <v>2708</v>
      </c>
      <c r="R433" t="s">
        <v>153</v>
      </c>
      <c r="S433" t="s">
        <v>94</v>
      </c>
      <c r="T433" t="s">
        <v>2709</v>
      </c>
      <c r="U433" t="s">
        <v>62</v>
      </c>
      <c r="V433">
        <v>4326847877</v>
      </c>
      <c r="W433" s="1">
        <v>38136</v>
      </c>
      <c r="X433">
        <v>1</v>
      </c>
      <c r="Y433">
        <v>1</v>
      </c>
      <c r="Z433">
        <v>2019</v>
      </c>
      <c r="AA433" t="s">
        <v>70</v>
      </c>
      <c r="AB433"/>
      <c r="AC433"/>
      <c r="AD433" t="s">
        <v>505</v>
      </c>
      <c r="AE433">
        <v>8742</v>
      </c>
      <c r="AF433" t="s">
        <v>506</v>
      </c>
      <c r="AG433"/>
      <c r="AH433"/>
      <c r="AI433">
        <v>87420500</v>
      </c>
      <c r="AJ433" t="s">
        <v>538</v>
      </c>
      <c r="AK433"/>
      <c r="AL433"/>
      <c r="AM433">
        <v>541611</v>
      </c>
      <c r="AN433" t="s">
        <v>510</v>
      </c>
      <c r="AO433"/>
      <c r="AP433"/>
      <c r="AQ433" t="s">
        <v>75</v>
      </c>
      <c r="AR433"/>
      <c r="AS433"/>
      <c r="AT433" t="s">
        <v>76</v>
      </c>
      <c r="AU433"/>
      <c r="AV433"/>
      <c r="AW433"/>
      <c r="AX433"/>
      <c r="AY433"/>
      <c r="AZ433"/>
      <c r="BA433"/>
      <c r="BB433"/>
      <c r="BC433"/>
      <c r="BD433"/>
      <c r="BE433"/>
      <c r="BF433">
        <v>0</v>
      </c>
      <c r="BG433">
        <v>0</v>
      </c>
      <c r="BH433" s="4"/>
      <c r="BI433" s="4"/>
      <c r="BJ433" s="4"/>
      <c r="BK433" s="4"/>
      <c r="BL433" s="4"/>
      <c r="BM433" s="4"/>
      <c r="BN433" s="4"/>
      <c r="BO433" s="4"/>
      <c r="BP433" s="4"/>
      <c r="BQ433" s="4"/>
      <c r="BR433" s="4"/>
      <c r="BS433" s="4"/>
      <c r="BT433" s="4"/>
      <c r="BU433" s="4"/>
      <c r="BV433" s="4"/>
      <c r="BW433" s="4"/>
      <c r="BX433" s="4"/>
      <c r="BY433" s="4"/>
      <c r="BZ433" s="4"/>
      <c r="CA433" s="4"/>
      <c r="CB433" s="4"/>
      <c r="CC433" s="4"/>
      <c r="CD433" s="4"/>
      <c r="CE433" s="4"/>
      <c r="CF433" s="4"/>
      <c r="CG433" s="4"/>
      <c r="CH433" s="4"/>
      <c r="CI433" s="4"/>
      <c r="CJ433" s="4"/>
      <c r="CK433" s="19">
        <f>IF(BQ433&gt;0,BQ433,W433)</f>
        <v>38136</v>
      </c>
      <c r="CL433" s="20">
        <f>IF(BS433&gt;0,BS433,Y433)</f>
        <v>1</v>
      </c>
      <c r="CM433" s="34">
        <f>IF(CG433&gt;0,CG433,AM433)</f>
        <v>541611</v>
      </c>
      <c r="CN433" s="80">
        <f>IF($BH433="",1,COUNTIF($BH$3:$BH433,$BH433))</f>
        <v>1</v>
      </c>
      <c r="CO433"/>
      <c r="CP433" t="str">
        <f>IF($K433="Standard Match","Match",IF($K433="Name Only Match",IF($CO433="Yes","Match","Name Only Match"),"No Match"))</f>
        <v>Match</v>
      </c>
      <c r="CQ433" s="35" t="str">
        <f>IF(AND(CP433="Match",CK433&gt;0,CL433&gt;0),"Y","N")</f>
        <v>Y</v>
      </c>
      <c r="CR433"/>
      <c r="CS433" t="str">
        <f>IF($CQ433="Y",VLOOKUP($CM433,'SBA Size Standards'!$B$3:$G$57,MATCH('SBA Size Standards'!$G$3,'SBA Size Standards'!$B$3:$G$3,0),FALSE),"")</f>
        <v>Revenue</v>
      </c>
      <c r="CT433" s="60">
        <f>IF(CQ433="Y",IF($CS433="Employment","N/A",VLOOKUP($CM433,'SBA Size Standards'!$B$3:$G$57,MATCH('SBA Size Standards'!$E$3,'SBA Size Standards'!$B$3:$G$3,0),FALSE)),"")</f>
        <v>16500000</v>
      </c>
      <c r="CU433" s="86" t="str">
        <f>IF($CQ433="Y",IF($CS433="Revenue","N/A",VLOOKUP($CM433,'SBA Size Standards'!$B$3:$G$57,MATCH('SBA Size Standards'!$F$3,'SBA Size Standards'!$B$3:$G$3,0),FALSE)),"")</f>
        <v>N/A</v>
      </c>
      <c r="CV433" t="str">
        <f>IF($CQ433="Y",IF(OR(AND($CS433="Employment",$CL433&lt;$CU433),AND($CS433="Revenue",$CK433&lt;$CT433)),"YES","NO"),"")</f>
        <v>YES</v>
      </c>
      <c r="CW433" s="90" t="str">
        <f>IF($CQ433="Y",INDEX('SBA Size Standards'!$N$3:$N$12,MATCH($CK433,'SBA Size Standards'!$O$3:$O$12,1)),"")</f>
        <v>&lt; $50,001</v>
      </c>
      <c r="CX433" s="122" t="s">
        <v>4891</v>
      </c>
      <c r="CY433" s="122">
        <f>INDEX('NM O&amp;G Production'!$P$3:$P$537,MATCH(CX433,'NM O&amp;G Production'!$Q$3:$Q$537,0))</f>
        <v>391</v>
      </c>
      <c r="CZ433" s="122" t="str">
        <f>INDEX('NM O&amp;G Production'!$O$3:$O$537,MATCH(CY433,'NM O&amp;G Production'!$P$3:$P$537,0))</f>
        <v>Yes</v>
      </c>
      <c r="DA433" s="127">
        <f>INDEX('NM O&amp;G Production'!$K$3:$O$537,MATCH($CY433,'NM O&amp;G Production'!$P$3:$P$537,0),MATCH(DA$2,'NM O&amp;G Production'!$K$2:$O$2,0))</f>
        <v>1</v>
      </c>
      <c r="DB433" s="127">
        <f>INDEX('NM O&amp;G Production'!$K$3:$O$537,MATCH($CY433,'NM O&amp;G Production'!$P$3:$P$537,0),MATCH(DB$2,'NM O&amp;G Production'!$K$2:$O$2,0))</f>
        <v>0</v>
      </c>
      <c r="DC433" s="127">
        <f>DA433+DB433</f>
        <v>1</v>
      </c>
      <c r="DD433" s="127">
        <f>INDEX('NM O&amp;G Production'!$K$3:$O$537,MATCH($CY433,'NM O&amp;G Production'!$P$3:$P$537,0),MATCH(DD$2,'NM O&amp;G Production'!$K$2:$O$2,0))</f>
        <v>638</v>
      </c>
      <c r="DE433" s="127">
        <f>INDEX('NM O&amp;G Production'!$K$3:$O$537,MATCH($CY433,'NM O&amp;G Production'!$P$3:$P$537,0),MATCH(DE$2,'NM O&amp;G Production'!$K$2:$O$2,0))</f>
        <v>0</v>
      </c>
      <c r="DF433" s="258">
        <f>CK433/(DB433+DA433)</f>
        <v>38136</v>
      </c>
      <c r="DG433" s="57">
        <f>DD433*(12/18)*1.06*'Oil and Gas Prices'!$C$18</f>
        <v>1077.5394666666668</v>
      </c>
      <c r="DH433" s="284">
        <f>DE433*(12/18)*'Oil and Gas Prices'!$C$4</f>
        <v>0</v>
      </c>
      <c r="DI433" s="284">
        <f>DG433+DH433</f>
        <v>1077.5394666666668</v>
      </c>
      <c r="DJ433" s="57">
        <f>(DG433+DH433)/(DA433+DB433)</f>
        <v>1077.5394666666668</v>
      </c>
      <c r="DK433" s="318"/>
    </row>
    <row r="434" spans="1:115" s="21" customFormat="1" x14ac:dyDescent="0.25">
      <c r="A434" t="s">
        <v>2661</v>
      </c>
      <c r="B434" t="s">
        <v>2662</v>
      </c>
      <c r="C434"/>
      <c r="D434" t="s">
        <v>123</v>
      </c>
      <c r="E434" t="s">
        <v>84</v>
      </c>
      <c r="F434">
        <v>87401</v>
      </c>
      <c r="G434" t="s">
        <v>62</v>
      </c>
      <c r="H434"/>
      <c r="I434">
        <v>385</v>
      </c>
      <c r="J434" t="s">
        <v>63</v>
      </c>
      <c r="K434" t="s">
        <v>4133</v>
      </c>
      <c r="L434" t="s">
        <v>64</v>
      </c>
      <c r="M434">
        <v>10</v>
      </c>
      <c r="N434" t="s">
        <v>2663</v>
      </c>
      <c r="O434" t="s">
        <v>2664</v>
      </c>
      <c r="P434"/>
      <c r="Q434" t="s">
        <v>2662</v>
      </c>
      <c r="R434" t="s">
        <v>123</v>
      </c>
      <c r="S434" t="s">
        <v>214</v>
      </c>
      <c r="T434" t="s">
        <v>2665</v>
      </c>
      <c r="U434" t="s">
        <v>62</v>
      </c>
      <c r="V434"/>
      <c r="W434" s="1">
        <v>36866</v>
      </c>
      <c r="X434">
        <v>2</v>
      </c>
      <c r="Y434">
        <v>2</v>
      </c>
      <c r="Z434">
        <v>2016</v>
      </c>
      <c r="AA434" t="s">
        <v>70</v>
      </c>
      <c r="AB434"/>
      <c r="AC434"/>
      <c r="AD434" t="s">
        <v>2666</v>
      </c>
      <c r="AE434">
        <v>7822</v>
      </c>
      <c r="AF434" t="s">
        <v>2667</v>
      </c>
      <c r="AG434"/>
      <c r="AH434"/>
      <c r="AI434">
        <v>78220000</v>
      </c>
      <c r="AJ434" t="s">
        <v>2668</v>
      </c>
      <c r="AK434"/>
      <c r="AL434"/>
      <c r="AM434">
        <v>512120</v>
      </c>
      <c r="AN434" t="s">
        <v>2669</v>
      </c>
      <c r="AO434"/>
      <c r="AP434"/>
      <c r="AQ434" t="s">
        <v>75</v>
      </c>
      <c r="AR434"/>
      <c r="AS434"/>
      <c r="AT434" t="s">
        <v>76</v>
      </c>
      <c r="AU434"/>
      <c r="AV434"/>
      <c r="AW434"/>
      <c r="AX434"/>
      <c r="AY434"/>
      <c r="AZ434"/>
      <c r="BA434"/>
      <c r="BB434"/>
      <c r="BC434"/>
      <c r="BD434"/>
      <c r="BE434"/>
      <c r="BF434">
        <v>0</v>
      </c>
      <c r="BG434">
        <v>0</v>
      </c>
      <c r="BH434" s="4"/>
      <c r="BI434" s="4"/>
      <c r="BJ434" s="4"/>
      <c r="BK434" s="4"/>
      <c r="BL434" s="4"/>
      <c r="BM434" s="4"/>
      <c r="BN434" s="4"/>
      <c r="BO434" s="4"/>
      <c r="BP434" s="4"/>
      <c r="BQ434" s="4"/>
      <c r="BR434" s="4"/>
      <c r="BS434" s="4"/>
      <c r="BT434" s="4"/>
      <c r="BU434" s="4"/>
      <c r="BV434" s="4"/>
      <c r="BW434" s="4"/>
      <c r="BX434" s="4"/>
      <c r="BY434" s="4"/>
      <c r="BZ434" s="4"/>
      <c r="CA434" s="4"/>
      <c r="CB434" s="4"/>
      <c r="CC434" s="4"/>
      <c r="CD434" s="4"/>
      <c r="CE434" s="4"/>
      <c r="CF434" s="4"/>
      <c r="CG434" s="4"/>
      <c r="CH434" s="4"/>
      <c r="CI434" s="4"/>
      <c r="CJ434" s="4"/>
      <c r="CK434" s="19">
        <f>IF(BQ434&gt;0,BQ434,W434)</f>
        <v>36866</v>
      </c>
      <c r="CL434" s="20">
        <f>IF(BS434&gt;0,BS434,Y434)</f>
        <v>2</v>
      </c>
      <c r="CM434" s="34">
        <f>IF(CG434&gt;0,CG434,AM434)</f>
        <v>512120</v>
      </c>
      <c r="CN434" s="80">
        <f>IF($BH434="",1,COUNTIF($BH$3:$BH434,$BH434))</f>
        <v>1</v>
      </c>
      <c r="CO434"/>
      <c r="CP434" t="str">
        <f>IF($K434="Standard Match","Match",IF($K434="Name Only Match",IF($CO434="Yes","Match","Name Only Match"),"No Match"))</f>
        <v>Match</v>
      </c>
      <c r="CQ434" s="35" t="str">
        <f>IF(AND(CP434="Match",CK434&gt;0,CL434&gt;0),"Y","N")</f>
        <v>Y</v>
      </c>
      <c r="CR434"/>
      <c r="CS434" t="str">
        <f>IF($CQ434="Y",VLOOKUP($CM434,'SBA Size Standards'!$B$3:$G$57,MATCH('SBA Size Standards'!$G$3,'SBA Size Standards'!$B$3:$G$3,0),FALSE),"")</f>
        <v>Revenue</v>
      </c>
      <c r="CT434" s="60">
        <f>IF(CQ434="Y",IF($CS434="Employment","N/A",VLOOKUP($CM434,'SBA Size Standards'!$B$3:$G$57,MATCH('SBA Size Standards'!$E$3,'SBA Size Standards'!$B$3:$G$3,0),FALSE)),"")</f>
        <v>34500000</v>
      </c>
      <c r="CU434" s="86" t="str">
        <f>IF($CQ434="Y",IF($CS434="Revenue","N/A",VLOOKUP($CM434,'SBA Size Standards'!$B$3:$G$57,MATCH('SBA Size Standards'!$F$3,'SBA Size Standards'!$B$3:$G$3,0),FALSE)),"")</f>
        <v>N/A</v>
      </c>
      <c r="CV434" t="str">
        <f>IF($CQ434="Y",IF(OR(AND($CS434="Employment",$CL434&lt;$CU434),AND($CS434="Revenue",$CK434&lt;$CT434)),"YES","NO"),"")</f>
        <v>YES</v>
      </c>
      <c r="CW434" s="90" t="str">
        <f>IF($CQ434="Y",INDEX('SBA Size Standards'!$N$3:$N$12,MATCH($CK434,'SBA Size Standards'!$O$3:$O$12,1)),"")</f>
        <v>&lt; $50,001</v>
      </c>
      <c r="CX434" s="122" t="s">
        <v>4715</v>
      </c>
      <c r="CY434" s="122">
        <f>INDEX('NM O&amp;G Production'!$P$3:$P$537,MATCH(CX434,'NM O&amp;G Production'!$Q$3:$Q$537,0))</f>
        <v>385</v>
      </c>
      <c r="CZ434" s="122" t="str">
        <f>INDEX('NM O&amp;G Production'!$O$3:$O$537,MATCH(CY434,'NM O&amp;G Production'!$P$3:$P$537,0))</f>
        <v>Yes</v>
      </c>
      <c r="DA434" s="127">
        <f>INDEX('NM O&amp;G Production'!$K$3:$O$537,MATCH($CY434,'NM O&amp;G Production'!$P$3:$P$537,0),MATCH(DA$2,'NM O&amp;G Production'!$K$2:$O$2,0))</f>
        <v>11</v>
      </c>
      <c r="DB434" s="127">
        <f>INDEX('NM O&amp;G Production'!$K$3:$O$537,MATCH($CY434,'NM O&amp;G Production'!$P$3:$P$537,0),MATCH(DB$2,'NM O&amp;G Production'!$K$2:$O$2,0))</f>
        <v>34</v>
      </c>
      <c r="DC434" s="127">
        <f>DA434+DB434</f>
        <v>45</v>
      </c>
      <c r="DD434" s="127">
        <f>INDEX('NM O&amp;G Production'!$K$3:$O$537,MATCH($CY434,'NM O&amp;G Production'!$P$3:$P$537,0),MATCH(DD$2,'NM O&amp;G Production'!$K$2:$O$2,0))</f>
        <v>591065</v>
      </c>
      <c r="DE434" s="127">
        <f>INDEX('NM O&amp;G Production'!$K$3:$O$537,MATCH($CY434,'NM O&amp;G Production'!$P$3:$P$537,0),MATCH(DE$2,'NM O&amp;G Production'!$K$2:$O$2,0))</f>
        <v>2480</v>
      </c>
      <c r="DF434" s="258">
        <f>CK434/(DB434+DA434)</f>
        <v>819.24444444444441</v>
      </c>
      <c r="DG434" s="57">
        <f>DD434*(12/18)*1.06*'Oil and Gas Prices'!$C$18</f>
        <v>998269.38066666678</v>
      </c>
      <c r="DH434" s="284">
        <f>DE434*(12/18)*'Oil and Gas Prices'!$C$4</f>
        <v>74400</v>
      </c>
      <c r="DI434" s="284">
        <f>DG434+DH434</f>
        <v>1072669.3806666667</v>
      </c>
      <c r="DJ434" s="57">
        <f>(DG434+DH434)/(DA434+DB434)</f>
        <v>23837.097348148149</v>
      </c>
      <c r="DK434" s="318"/>
    </row>
    <row r="435" spans="1:115" x14ac:dyDescent="0.25">
      <c r="A435" t="s">
        <v>3228</v>
      </c>
      <c r="B435" t="s">
        <v>2862</v>
      </c>
      <c r="D435" t="s">
        <v>153</v>
      </c>
      <c r="E435" t="s">
        <v>80</v>
      </c>
      <c r="F435">
        <v>79705</v>
      </c>
      <c r="G435" t="s">
        <v>62</v>
      </c>
      <c r="I435">
        <v>474</v>
      </c>
      <c r="J435" t="s">
        <v>63</v>
      </c>
      <c r="K435" t="s">
        <v>4133</v>
      </c>
      <c r="L435" t="s">
        <v>64</v>
      </c>
      <c r="M435">
        <v>10</v>
      </c>
      <c r="N435" t="s">
        <v>2863</v>
      </c>
      <c r="O435" t="s">
        <v>2864</v>
      </c>
      <c r="Q435" t="s">
        <v>2865</v>
      </c>
      <c r="R435" t="s">
        <v>153</v>
      </c>
      <c r="S435" t="s">
        <v>94</v>
      </c>
      <c r="T435" t="s">
        <v>2866</v>
      </c>
      <c r="U435" t="s">
        <v>62</v>
      </c>
      <c r="V435">
        <v>4326821417</v>
      </c>
      <c r="W435" s="1">
        <v>35160</v>
      </c>
      <c r="X435">
        <v>2</v>
      </c>
      <c r="Y435">
        <v>2</v>
      </c>
      <c r="Z435">
        <v>2017</v>
      </c>
      <c r="AA435" t="s">
        <v>70</v>
      </c>
      <c r="AD435" t="s">
        <v>2867</v>
      </c>
      <c r="AE435">
        <v>4925</v>
      </c>
      <c r="AF435" t="s">
        <v>2868</v>
      </c>
      <c r="AI435">
        <v>49250000</v>
      </c>
      <c r="AJ435" t="s">
        <v>2869</v>
      </c>
      <c r="AM435">
        <v>221210</v>
      </c>
      <c r="AN435" t="s">
        <v>166</v>
      </c>
      <c r="AQ435" t="s">
        <v>75</v>
      </c>
      <c r="AT435" t="s">
        <v>76</v>
      </c>
      <c r="BF435">
        <v>0</v>
      </c>
      <c r="BG435">
        <v>0</v>
      </c>
      <c r="CK435" s="19">
        <f>IF(BQ435&gt;0,BQ435,W435)</f>
        <v>35160</v>
      </c>
      <c r="CL435" s="20">
        <f>IF(BS435&gt;0,BS435,Y435)</f>
        <v>2</v>
      </c>
      <c r="CM435" s="34">
        <f>IF(CG435&gt;0,CG435,AM435)</f>
        <v>221210</v>
      </c>
      <c r="CN435" s="80">
        <f>IF($BH435="",1,COUNTIF($BH$3:$BH435,$BH435))</f>
        <v>1</v>
      </c>
      <c r="CP435" t="str">
        <f>IF($K435="Standard Match","Match",IF($K435="Name Only Match",IF($CO435="Yes","Match","Name Only Match"),"No Match"))</f>
        <v>Match</v>
      </c>
      <c r="CQ435" s="35" t="str">
        <f>IF(AND(CP435="Match",CK435&gt;0,CL435&gt;0),"Y","N")</f>
        <v>Y</v>
      </c>
      <c r="CS435" t="str">
        <f>IF($CQ435="Y",VLOOKUP($CM435,'SBA Size Standards'!$B$3:$G$57,MATCH('SBA Size Standards'!$G$3,'SBA Size Standards'!$B$3:$G$3,0),FALSE),"")</f>
        <v>Employment</v>
      </c>
      <c r="CT435" s="60" t="str">
        <f>IF(CQ435="Y",IF($CS435="Employment","N/A",VLOOKUP($CM435,'SBA Size Standards'!$B$3:$G$57,MATCH('SBA Size Standards'!$E$3,'SBA Size Standards'!$B$3:$G$3,0),FALSE)),"")</f>
        <v>N/A</v>
      </c>
      <c r="CU435" s="86">
        <f>IF($CQ435="Y",IF($CS435="Revenue","N/A",VLOOKUP($CM435,'SBA Size Standards'!$B$3:$G$57,MATCH('SBA Size Standards'!$F$3,'SBA Size Standards'!$B$3:$G$3,0),FALSE)),"")</f>
        <v>1000</v>
      </c>
      <c r="CV435" t="str">
        <f>IF($CQ435="Y",IF(OR(AND($CS435="Employment",$CL435&lt;$CU435),AND($CS435="Revenue",$CK435&lt;$CT435)),"YES","NO"),"")</f>
        <v>YES</v>
      </c>
      <c r="CW435" s="90" t="str">
        <f>IF($CQ435="Y",INDEX('SBA Size Standards'!$N$3:$N$12,MATCH($CK435,'SBA Size Standards'!$O$3:$O$12,1)),"")</f>
        <v>&lt; $50,001</v>
      </c>
      <c r="CX435" s="122" t="s">
        <v>4764</v>
      </c>
      <c r="CY435" s="122">
        <f>INDEX('NM O&amp;G Production'!$P$3:$P$537,MATCH(CX435,'NM O&amp;G Production'!$Q$3:$Q$537,0))</f>
        <v>474</v>
      </c>
      <c r="CZ435" s="122" t="str">
        <f>INDEX('NM O&amp;G Production'!$O$3:$O$537,MATCH(CY435,'NM O&amp;G Production'!$P$3:$P$537,0))</f>
        <v>No</v>
      </c>
      <c r="DA435" s="127">
        <f>INDEX('NM O&amp;G Production'!$K$3:$O$537,MATCH($CY435,'NM O&amp;G Production'!$P$3:$P$537,0),MATCH(DA$2,'NM O&amp;G Production'!$K$2:$O$2,0))</f>
        <v>0</v>
      </c>
      <c r="DB435" s="127">
        <f>INDEX('NM O&amp;G Production'!$K$3:$O$537,MATCH($CY435,'NM O&amp;G Production'!$P$3:$P$537,0),MATCH(DB$2,'NM O&amp;G Production'!$K$2:$O$2,0))</f>
        <v>0</v>
      </c>
      <c r="DC435" s="127"/>
      <c r="DD435" s="127">
        <f>INDEX('NM O&amp;G Production'!$K$3:$O$537,MATCH($CY435,'NM O&amp;G Production'!$P$3:$P$537,0),MATCH(DD$2,'NM O&amp;G Production'!$K$2:$O$2,0))</f>
        <v>0</v>
      </c>
      <c r="DE435" s="127">
        <f>INDEX('NM O&amp;G Production'!$K$3:$O$537,MATCH($CY435,'NM O&amp;G Production'!$P$3:$P$537,0),MATCH(DE$2,'NM O&amp;G Production'!$K$2:$O$2,0))</f>
        <v>0</v>
      </c>
      <c r="DF435" s="258" t="e">
        <f>CK435/(DB435+DA435)</f>
        <v>#DIV/0!</v>
      </c>
      <c r="DG435" s="57">
        <f>DD435*(12/18)*1.06*'Oil and Gas Prices'!$C$18</f>
        <v>0</v>
      </c>
      <c r="DH435" s="284">
        <f>DE435*(12/18)*'Oil and Gas Prices'!$C$4</f>
        <v>0</v>
      </c>
      <c r="DI435" s="284"/>
      <c r="DJ435" s="57" t="e">
        <f>(DG435+DH435)/(DA435+DB435)</f>
        <v>#DIV/0!</v>
      </c>
      <c r="DK435" s="18" t="e">
        <f>CK435/DI435</f>
        <v>#DIV/0!</v>
      </c>
    </row>
    <row r="436" spans="1:115" s="21" customFormat="1" x14ac:dyDescent="0.25">
      <c r="A436" t="s">
        <v>2861</v>
      </c>
      <c r="B436" t="s">
        <v>2862</v>
      </c>
      <c r="C436"/>
      <c r="D436" t="s">
        <v>153</v>
      </c>
      <c r="E436" t="s">
        <v>80</v>
      </c>
      <c r="F436">
        <v>79705</v>
      </c>
      <c r="G436" t="s">
        <v>62</v>
      </c>
      <c r="H436"/>
      <c r="I436">
        <v>416</v>
      </c>
      <c r="J436" t="s">
        <v>63</v>
      </c>
      <c r="K436" t="s">
        <v>4133</v>
      </c>
      <c r="L436" t="s">
        <v>113</v>
      </c>
      <c r="M436">
        <v>8</v>
      </c>
      <c r="N436" t="s">
        <v>2863</v>
      </c>
      <c r="O436" t="s">
        <v>2864</v>
      </c>
      <c r="P436"/>
      <c r="Q436" t="s">
        <v>2865</v>
      </c>
      <c r="R436" t="s">
        <v>153</v>
      </c>
      <c r="S436" t="s">
        <v>94</v>
      </c>
      <c r="T436" t="s">
        <v>2866</v>
      </c>
      <c r="U436" t="s">
        <v>62</v>
      </c>
      <c r="V436">
        <v>4326821417</v>
      </c>
      <c r="W436" s="1">
        <v>35160</v>
      </c>
      <c r="X436">
        <v>2</v>
      </c>
      <c r="Y436">
        <v>2</v>
      </c>
      <c r="Z436">
        <v>2017</v>
      </c>
      <c r="AA436" t="s">
        <v>70</v>
      </c>
      <c r="AB436"/>
      <c r="AC436"/>
      <c r="AD436" t="s">
        <v>2867</v>
      </c>
      <c r="AE436">
        <v>4925</v>
      </c>
      <c r="AF436" t="s">
        <v>2868</v>
      </c>
      <c r="AG436"/>
      <c r="AH436"/>
      <c r="AI436">
        <v>49250000</v>
      </c>
      <c r="AJ436" t="s">
        <v>2869</v>
      </c>
      <c r="AK436"/>
      <c r="AL436"/>
      <c r="AM436">
        <v>221210</v>
      </c>
      <c r="AN436" t="s">
        <v>166</v>
      </c>
      <c r="AO436"/>
      <c r="AP436"/>
      <c r="AQ436" t="s">
        <v>75</v>
      </c>
      <c r="AR436"/>
      <c r="AS436"/>
      <c r="AT436" t="s">
        <v>76</v>
      </c>
      <c r="AU436"/>
      <c r="AV436"/>
      <c r="AW436"/>
      <c r="AX436"/>
      <c r="AY436"/>
      <c r="AZ436"/>
      <c r="BA436"/>
      <c r="BB436"/>
      <c r="BC436"/>
      <c r="BD436"/>
      <c r="BE436"/>
      <c r="BF436">
        <v>0</v>
      </c>
      <c r="BG436">
        <v>0</v>
      </c>
      <c r="BH436" s="4"/>
      <c r="BI436" s="4"/>
      <c r="BJ436" s="4"/>
      <c r="BK436" s="4"/>
      <c r="BL436" s="4"/>
      <c r="BM436" s="4"/>
      <c r="BN436" s="4"/>
      <c r="BO436" s="4"/>
      <c r="BP436" s="4"/>
      <c r="BQ436" s="4"/>
      <c r="BR436" s="4"/>
      <c r="BS436" s="4"/>
      <c r="BT436" s="4"/>
      <c r="BU436" s="4"/>
      <c r="BV436" s="4"/>
      <c r="BW436" s="4"/>
      <c r="BX436" s="4"/>
      <c r="BY436" s="4"/>
      <c r="BZ436" s="4"/>
      <c r="CA436" s="4"/>
      <c r="CB436" s="4"/>
      <c r="CC436" s="4"/>
      <c r="CD436" s="4"/>
      <c r="CE436" s="4"/>
      <c r="CF436" s="4"/>
      <c r="CG436" s="4"/>
      <c r="CH436" s="4"/>
      <c r="CI436" s="4"/>
      <c r="CJ436" s="4"/>
      <c r="CK436" s="19">
        <f>IF(BQ436&gt;0,BQ436,W436)</f>
        <v>35160</v>
      </c>
      <c r="CL436" s="20">
        <f>IF(BS436&gt;0,BS436,Y436)</f>
        <v>2</v>
      </c>
      <c r="CM436" s="34">
        <f>IF(CG436&gt;0,CG436,AM436)</f>
        <v>221210</v>
      </c>
      <c r="CN436" s="80">
        <f>IF($BH436="",1,COUNTIF($BH$3:$BH436,$BH436))</f>
        <v>1</v>
      </c>
      <c r="CO436"/>
      <c r="CP436" t="str">
        <f>IF($K436="Standard Match","Match",IF($K436="Name Only Match",IF($CO436="Yes","Match","Name Only Match"),"No Match"))</f>
        <v>Match</v>
      </c>
      <c r="CQ436" s="35" t="str">
        <f>IF(AND(CP436="Match",CK436&gt;0,CL436&gt;0),"Y","N")</f>
        <v>Y</v>
      </c>
      <c r="CR436"/>
      <c r="CS436" t="str">
        <f>IF($CQ436="Y",VLOOKUP($CM436,'SBA Size Standards'!$B$3:$G$57,MATCH('SBA Size Standards'!$G$3,'SBA Size Standards'!$B$3:$G$3,0),FALSE),"")</f>
        <v>Employment</v>
      </c>
      <c r="CT436" s="60" t="str">
        <f>IF(CQ436="Y",IF($CS436="Employment","N/A",VLOOKUP($CM436,'SBA Size Standards'!$B$3:$G$57,MATCH('SBA Size Standards'!$E$3,'SBA Size Standards'!$B$3:$G$3,0),FALSE)),"")</f>
        <v>N/A</v>
      </c>
      <c r="CU436" s="86">
        <f>IF($CQ436="Y",IF($CS436="Revenue","N/A",VLOOKUP($CM436,'SBA Size Standards'!$B$3:$G$57,MATCH('SBA Size Standards'!$F$3,'SBA Size Standards'!$B$3:$G$3,0),FALSE)),"")</f>
        <v>1000</v>
      </c>
      <c r="CV436" t="str">
        <f>IF($CQ436="Y",IF(OR(AND($CS436="Employment",$CL436&lt;$CU436),AND($CS436="Revenue",$CK436&lt;$CT436)),"YES","NO"),"")</f>
        <v>YES</v>
      </c>
      <c r="CW436" s="90" t="str">
        <f>IF($CQ436="Y",INDEX('SBA Size Standards'!$N$3:$N$12,MATCH($CK436,'SBA Size Standards'!$O$3:$O$12,1)),"")</f>
        <v>&lt; $50,001</v>
      </c>
      <c r="CX436" s="122" t="s">
        <v>4897</v>
      </c>
      <c r="CY436" s="122">
        <f>INDEX('NM O&amp;G Production'!$P$3:$P$537,MATCH(CX436,'NM O&amp;G Production'!$Q$3:$Q$537,0))</f>
        <v>416</v>
      </c>
      <c r="CZ436" s="122" t="str">
        <f>INDEX('NM O&amp;G Production'!$O$3:$O$537,MATCH(CY436,'NM O&amp;G Production'!$P$3:$P$537,0))</f>
        <v>No</v>
      </c>
      <c r="DA436" s="127">
        <f>INDEX('NM O&amp;G Production'!$K$3:$O$537,MATCH($CY436,'NM O&amp;G Production'!$P$3:$P$537,0),MATCH(DA$2,'NM O&amp;G Production'!$K$2:$O$2,0))</f>
        <v>0</v>
      </c>
      <c r="DB436" s="127">
        <f>INDEX('NM O&amp;G Production'!$K$3:$O$537,MATCH($CY436,'NM O&amp;G Production'!$P$3:$P$537,0),MATCH(DB$2,'NM O&amp;G Production'!$K$2:$O$2,0))</f>
        <v>0</v>
      </c>
      <c r="DC436" s="127"/>
      <c r="DD436" s="127">
        <f>INDEX('NM O&amp;G Production'!$K$3:$O$537,MATCH($CY436,'NM O&amp;G Production'!$P$3:$P$537,0),MATCH(DD$2,'NM O&amp;G Production'!$K$2:$O$2,0))</f>
        <v>0</v>
      </c>
      <c r="DE436" s="127">
        <f>INDEX('NM O&amp;G Production'!$K$3:$O$537,MATCH($CY436,'NM O&amp;G Production'!$P$3:$P$537,0),MATCH(DE$2,'NM O&amp;G Production'!$K$2:$O$2,0))</f>
        <v>0</v>
      </c>
      <c r="DF436" s="258" t="e">
        <f>CK436/(DB436+DA436)</f>
        <v>#DIV/0!</v>
      </c>
      <c r="DG436" s="57">
        <f>DD436*(12/18)*1.06*'Oil and Gas Prices'!$C$18</f>
        <v>0</v>
      </c>
      <c r="DH436" s="284">
        <f>DE436*(12/18)*'Oil and Gas Prices'!$C$4</f>
        <v>0</v>
      </c>
      <c r="DI436" s="284"/>
      <c r="DJ436" s="57" t="e">
        <f>(DG436+DH436)/(DA436+DB436)</f>
        <v>#DIV/0!</v>
      </c>
      <c r="DK436" s="18" t="e">
        <f>CK436/DI436</f>
        <v>#DIV/0!</v>
      </c>
    </row>
    <row r="437" spans="1:115" x14ac:dyDescent="0.25">
      <c r="A437" t="s">
        <v>3057</v>
      </c>
      <c r="B437" t="s">
        <v>3058</v>
      </c>
      <c r="D437" t="s">
        <v>112</v>
      </c>
      <c r="E437" t="s">
        <v>80</v>
      </c>
      <c r="F437">
        <v>77056</v>
      </c>
      <c r="G437" t="s">
        <v>62</v>
      </c>
      <c r="I437">
        <v>446</v>
      </c>
      <c r="J437" t="s">
        <v>63</v>
      </c>
      <c r="K437" t="s">
        <v>4133</v>
      </c>
      <c r="L437" t="s">
        <v>64</v>
      </c>
      <c r="M437">
        <v>10</v>
      </c>
      <c r="N437" t="s">
        <v>3059</v>
      </c>
      <c r="O437" t="s">
        <v>3060</v>
      </c>
      <c r="Q437" t="s">
        <v>3061</v>
      </c>
      <c r="R437" t="s">
        <v>112</v>
      </c>
      <c r="S437" t="s">
        <v>94</v>
      </c>
      <c r="T437" t="s">
        <v>3062</v>
      </c>
      <c r="U437" t="s">
        <v>62</v>
      </c>
      <c r="W437" s="1">
        <v>34669</v>
      </c>
      <c r="X437">
        <v>1</v>
      </c>
      <c r="Y437">
        <v>1</v>
      </c>
      <c r="Z437">
        <v>2020</v>
      </c>
      <c r="AA437" t="s">
        <v>70</v>
      </c>
      <c r="AD437" t="s">
        <v>505</v>
      </c>
      <c r="AE437">
        <v>8742</v>
      </c>
      <c r="AF437" t="s">
        <v>506</v>
      </c>
      <c r="AI437">
        <v>87420500</v>
      </c>
      <c r="AJ437" t="s">
        <v>538</v>
      </c>
      <c r="AM437">
        <v>541611</v>
      </c>
      <c r="AN437" t="s">
        <v>510</v>
      </c>
      <c r="AQ437" t="s">
        <v>75</v>
      </c>
      <c r="AT437" t="s">
        <v>76</v>
      </c>
      <c r="BF437">
        <v>0</v>
      </c>
      <c r="BG437">
        <v>0</v>
      </c>
      <c r="CK437" s="19">
        <f>IF(BQ437&gt;0,BQ437,W437)</f>
        <v>34669</v>
      </c>
      <c r="CL437" s="20">
        <f>IF(BS437&gt;0,BS437,Y437)</f>
        <v>1</v>
      </c>
      <c r="CM437" s="34">
        <f>IF(CG437&gt;0,CG437,AM437)</f>
        <v>541611</v>
      </c>
      <c r="CN437" s="80">
        <f>IF($BH437="",1,COUNTIF($BH$3:$BH437,$BH437))</f>
        <v>1</v>
      </c>
      <c r="CP437" t="str">
        <f>IF($K437="Standard Match","Match",IF($K437="Name Only Match",IF($CO437="Yes","Match","Name Only Match"),"No Match"))</f>
        <v>Match</v>
      </c>
      <c r="CQ437" s="35" t="str">
        <f>IF(AND(CP437="Match",CK437&gt;0,CL437&gt;0),"Y","N")</f>
        <v>Y</v>
      </c>
      <c r="CS437" t="str">
        <f>IF($CQ437="Y",VLOOKUP($CM437,'SBA Size Standards'!$B$3:$G$57,MATCH('SBA Size Standards'!$G$3,'SBA Size Standards'!$B$3:$G$3,0),FALSE),"")</f>
        <v>Revenue</v>
      </c>
      <c r="CT437" s="60">
        <f>IF(CQ437="Y",IF($CS437="Employment","N/A",VLOOKUP($CM437,'SBA Size Standards'!$B$3:$G$57,MATCH('SBA Size Standards'!$E$3,'SBA Size Standards'!$B$3:$G$3,0),FALSE)),"")</f>
        <v>16500000</v>
      </c>
      <c r="CU437" s="86" t="str">
        <f>IF($CQ437="Y",IF($CS437="Revenue","N/A",VLOOKUP($CM437,'SBA Size Standards'!$B$3:$G$57,MATCH('SBA Size Standards'!$F$3,'SBA Size Standards'!$B$3:$G$3,0),FALSE)),"")</f>
        <v>N/A</v>
      </c>
      <c r="CV437" t="str">
        <f>IF($CQ437="Y",IF(OR(AND($CS437="Employment",$CL437&lt;$CU437),AND($CS437="Revenue",$CK437&lt;$CT437)),"YES","NO"),"")</f>
        <v>YES</v>
      </c>
      <c r="CW437" s="90" t="str">
        <f>IF($CQ437="Y",INDEX('SBA Size Standards'!$N$3:$N$12,MATCH($CK437,'SBA Size Standards'!$O$3:$O$12,1)),"")</f>
        <v>&lt; $50,001</v>
      </c>
      <c r="CX437" s="122" t="s">
        <v>4752</v>
      </c>
      <c r="CY437" s="122">
        <f>INDEX('NM O&amp;G Production'!$P$3:$P$537,MATCH(CX437,'NM O&amp;G Production'!$Q$3:$Q$537,0))</f>
        <v>446</v>
      </c>
      <c r="CZ437" s="122" t="str">
        <f>INDEX('NM O&amp;G Production'!$O$3:$O$537,MATCH(CY437,'NM O&amp;G Production'!$P$3:$P$537,0))</f>
        <v>Yes</v>
      </c>
      <c r="DA437" s="127">
        <f>INDEX('NM O&amp;G Production'!$K$3:$O$537,MATCH($CY437,'NM O&amp;G Production'!$P$3:$P$537,0),MATCH(DA$2,'NM O&amp;G Production'!$K$2:$O$2,0))</f>
        <v>2</v>
      </c>
      <c r="DB437" s="127">
        <f>INDEX('NM O&amp;G Production'!$K$3:$O$537,MATCH($CY437,'NM O&amp;G Production'!$P$3:$P$537,0),MATCH(DB$2,'NM O&amp;G Production'!$K$2:$O$2,0))</f>
        <v>6</v>
      </c>
      <c r="DC437" s="127">
        <f>DA437+DB437</f>
        <v>8</v>
      </c>
      <c r="DD437" s="127">
        <f>INDEX('NM O&amp;G Production'!$K$3:$O$537,MATCH($CY437,'NM O&amp;G Production'!$P$3:$P$537,0),MATCH(DD$2,'NM O&amp;G Production'!$K$2:$O$2,0))</f>
        <v>133533</v>
      </c>
      <c r="DE437" s="127">
        <f>INDEX('NM O&amp;G Production'!$K$3:$O$537,MATCH($CY437,'NM O&amp;G Production'!$P$3:$P$537,0),MATCH(DE$2,'NM O&amp;G Production'!$K$2:$O$2,0))</f>
        <v>9139</v>
      </c>
      <c r="DF437" s="258">
        <f>CK437/(DB437+DA437)</f>
        <v>4333.625</v>
      </c>
      <c r="DG437" s="57">
        <f>DD437*(12/18)*1.06*'Oil and Gas Prices'!$C$18</f>
        <v>225528.33480000004</v>
      </c>
      <c r="DH437" s="284">
        <f>DE437*(12/18)*'Oil and Gas Prices'!$C$4</f>
        <v>274170</v>
      </c>
      <c r="DI437" s="284">
        <f>DG437+DH437</f>
        <v>499698.33480000007</v>
      </c>
      <c r="DJ437" s="57">
        <f>(DG437+DH437)/(DA437+DB437)</f>
        <v>62462.291850000009</v>
      </c>
      <c r="DK437" s="318"/>
    </row>
    <row r="438" spans="1:115" s="21" customFormat="1" x14ac:dyDescent="0.25">
      <c r="A438" t="s">
        <v>1892</v>
      </c>
      <c r="B438" t="s">
        <v>1893</v>
      </c>
      <c r="C438"/>
      <c r="D438" t="s">
        <v>378</v>
      </c>
      <c r="E438" t="s">
        <v>80</v>
      </c>
      <c r="F438">
        <v>75205</v>
      </c>
      <c r="G438" t="s">
        <v>62</v>
      </c>
      <c r="H438"/>
      <c r="I438">
        <v>262</v>
      </c>
      <c r="J438" t="s">
        <v>63</v>
      </c>
      <c r="K438" t="s">
        <v>4133</v>
      </c>
      <c r="L438" t="s">
        <v>64</v>
      </c>
      <c r="M438">
        <v>10</v>
      </c>
      <c r="N438" t="s">
        <v>1894</v>
      </c>
      <c r="O438" t="s">
        <v>1895</v>
      </c>
      <c r="P438"/>
      <c r="Q438" t="s">
        <v>1893</v>
      </c>
      <c r="R438" t="s">
        <v>378</v>
      </c>
      <c r="S438" t="s">
        <v>94</v>
      </c>
      <c r="T438" t="s">
        <v>1896</v>
      </c>
      <c r="U438" t="s">
        <v>62</v>
      </c>
      <c r="V438"/>
      <c r="W438" s="1">
        <v>34669</v>
      </c>
      <c r="X438">
        <v>1</v>
      </c>
      <c r="Y438">
        <v>1</v>
      </c>
      <c r="Z438">
        <v>2019</v>
      </c>
      <c r="AA438" t="s">
        <v>70</v>
      </c>
      <c r="AB438"/>
      <c r="AC438"/>
      <c r="AD438" t="s">
        <v>505</v>
      </c>
      <c r="AE438">
        <v>8742</v>
      </c>
      <c r="AF438" t="s">
        <v>506</v>
      </c>
      <c r="AG438"/>
      <c r="AH438"/>
      <c r="AI438">
        <v>87429902</v>
      </c>
      <c r="AJ438" t="s">
        <v>1897</v>
      </c>
      <c r="AK438"/>
      <c r="AL438"/>
      <c r="AM438">
        <v>541611</v>
      </c>
      <c r="AN438" t="s">
        <v>510</v>
      </c>
      <c r="AO438"/>
      <c r="AP438"/>
      <c r="AQ438" t="s">
        <v>75</v>
      </c>
      <c r="AR438"/>
      <c r="AS438"/>
      <c r="AT438" t="s">
        <v>76</v>
      </c>
      <c r="AU438"/>
      <c r="AV438"/>
      <c r="AW438"/>
      <c r="AX438"/>
      <c r="AY438"/>
      <c r="AZ438"/>
      <c r="BA438"/>
      <c r="BB438"/>
      <c r="BC438"/>
      <c r="BD438"/>
      <c r="BE438"/>
      <c r="BF438">
        <v>0</v>
      </c>
      <c r="BG438"/>
      <c r="BH438" s="4"/>
      <c r="BI438" s="4"/>
      <c r="BJ438" s="4"/>
      <c r="BK438" s="4"/>
      <c r="BL438" s="4"/>
      <c r="BM438" s="4"/>
      <c r="BN438" s="4"/>
      <c r="BO438" s="4"/>
      <c r="BP438" s="4"/>
      <c r="BQ438" s="4"/>
      <c r="BR438" s="4"/>
      <c r="BS438" s="4"/>
      <c r="BT438" s="4"/>
      <c r="BU438" s="4"/>
      <c r="BV438" s="4"/>
      <c r="BW438" s="4"/>
      <c r="BX438" s="4"/>
      <c r="BY438" s="4"/>
      <c r="BZ438" s="4"/>
      <c r="CA438" s="4"/>
      <c r="CB438" s="4"/>
      <c r="CC438" s="4"/>
      <c r="CD438" s="4"/>
      <c r="CE438" s="4"/>
      <c r="CF438" s="4"/>
      <c r="CG438" s="4"/>
      <c r="CH438" s="4"/>
      <c r="CI438" s="4"/>
      <c r="CJ438" s="4"/>
      <c r="CK438" s="19">
        <f>IF(BQ438&gt;0,BQ438,W438)</f>
        <v>34669</v>
      </c>
      <c r="CL438" s="20">
        <f>IF(BS438&gt;0,BS438,Y438)</f>
        <v>1</v>
      </c>
      <c r="CM438" s="34">
        <f>IF(CG438&gt;0,CG438,AM438)</f>
        <v>541611</v>
      </c>
      <c r="CN438" s="80">
        <f>IF($BH438="",1,COUNTIF($BH$3:$BH438,$BH438))</f>
        <v>1</v>
      </c>
      <c r="CO438"/>
      <c r="CP438" t="str">
        <f>IF($K438="Standard Match","Match",IF($K438="Name Only Match",IF($CO438="Yes","Match","Name Only Match"),"No Match"))</f>
        <v>Match</v>
      </c>
      <c r="CQ438" s="35" t="str">
        <f>IF(AND(CP438="Match",CK438&gt;0,CL438&gt;0),"Y","N")</f>
        <v>Y</v>
      </c>
      <c r="CR438"/>
      <c r="CS438" t="str">
        <f>IF($CQ438="Y",VLOOKUP($CM438,'SBA Size Standards'!$B$3:$G$57,MATCH('SBA Size Standards'!$G$3,'SBA Size Standards'!$B$3:$G$3,0),FALSE),"")</f>
        <v>Revenue</v>
      </c>
      <c r="CT438" s="60">
        <f>IF(CQ438="Y",IF($CS438="Employment","N/A",VLOOKUP($CM438,'SBA Size Standards'!$B$3:$G$57,MATCH('SBA Size Standards'!$E$3,'SBA Size Standards'!$B$3:$G$3,0),FALSE)),"")</f>
        <v>16500000</v>
      </c>
      <c r="CU438" s="86" t="str">
        <f>IF($CQ438="Y",IF($CS438="Revenue","N/A",VLOOKUP($CM438,'SBA Size Standards'!$B$3:$G$57,MATCH('SBA Size Standards'!$F$3,'SBA Size Standards'!$B$3:$G$3,0),FALSE)),"")</f>
        <v>N/A</v>
      </c>
      <c r="CV438" t="str">
        <f>IF($CQ438="Y",IF(OR(AND($CS438="Employment",$CL438&lt;$CU438),AND($CS438="Revenue",$CK438&lt;$CT438)),"YES","NO"),"")</f>
        <v>YES</v>
      </c>
      <c r="CW438" s="90" t="str">
        <f>IF($CQ438="Y",INDEX('SBA Size Standards'!$N$3:$N$12,MATCH($CK438,'SBA Size Standards'!$O$3:$O$12,1)),"")</f>
        <v>&lt; $50,001</v>
      </c>
      <c r="CX438" s="122" t="s">
        <v>4658</v>
      </c>
      <c r="CY438" s="122">
        <f>INDEX('NM O&amp;G Production'!$P$3:$P$537,MATCH(CX438,'NM O&amp;G Production'!$Q$3:$Q$537,0))</f>
        <v>262</v>
      </c>
      <c r="CZ438" s="122" t="str">
        <f>INDEX('NM O&amp;G Production'!$O$3:$O$537,MATCH(CY438,'NM O&amp;G Production'!$P$3:$P$537,0))</f>
        <v>Yes</v>
      </c>
      <c r="DA438" s="127">
        <f>INDEX('NM O&amp;G Production'!$K$3:$O$537,MATCH($CY438,'NM O&amp;G Production'!$P$3:$P$537,0),MATCH(DA$2,'NM O&amp;G Production'!$K$2:$O$2,0))</f>
        <v>20</v>
      </c>
      <c r="DB438" s="127">
        <f>INDEX('NM O&amp;G Production'!$K$3:$O$537,MATCH($CY438,'NM O&amp;G Production'!$P$3:$P$537,0),MATCH(DB$2,'NM O&amp;G Production'!$K$2:$O$2,0))</f>
        <v>277</v>
      </c>
      <c r="DC438" s="127">
        <f>DA438+DB438</f>
        <v>297</v>
      </c>
      <c r="DD438" s="127">
        <f>INDEX('NM O&amp;G Production'!$K$3:$O$537,MATCH($CY438,'NM O&amp;G Production'!$P$3:$P$537,0),MATCH(DD$2,'NM O&amp;G Production'!$K$2:$O$2,0))</f>
        <v>137839</v>
      </c>
      <c r="DE438" s="127">
        <f>INDEX('NM O&amp;G Production'!$K$3:$O$537,MATCH($CY438,'NM O&amp;G Production'!$P$3:$P$537,0),MATCH(DE$2,'NM O&amp;G Production'!$K$2:$O$2,0))</f>
        <v>249639</v>
      </c>
      <c r="DF438" s="258">
        <f>CK438/(DB438+DA438)</f>
        <v>116.73063973063974</v>
      </c>
      <c r="DG438" s="57">
        <f>DD438*(12/18)*1.06*'Oil and Gas Prices'!$C$18</f>
        <v>232800.88173333331</v>
      </c>
      <c r="DH438" s="284">
        <f>DE438*(12/18)*'Oil and Gas Prices'!$C$4</f>
        <v>7489170</v>
      </c>
      <c r="DI438" s="284">
        <f>DG438+DH438</f>
        <v>7721970.8817333337</v>
      </c>
      <c r="DJ438" s="57">
        <f>(DG438+DH438)/(DA438+DB438)</f>
        <v>25999.901958698094</v>
      </c>
      <c r="DK438" s="318"/>
    </row>
    <row r="439" spans="1:115" x14ac:dyDescent="0.25">
      <c r="A439" t="s">
        <v>1714</v>
      </c>
      <c r="B439" t="s">
        <v>1715</v>
      </c>
      <c r="D439" t="s">
        <v>88</v>
      </c>
      <c r="E439" t="s">
        <v>80</v>
      </c>
      <c r="F439">
        <v>76109</v>
      </c>
      <c r="G439" t="s">
        <v>62</v>
      </c>
      <c r="I439">
        <v>236</v>
      </c>
      <c r="J439" t="s">
        <v>63</v>
      </c>
      <c r="K439" t="s">
        <v>4133</v>
      </c>
      <c r="L439" t="s">
        <v>64</v>
      </c>
      <c r="M439">
        <v>10</v>
      </c>
      <c r="N439" t="s">
        <v>1716</v>
      </c>
      <c r="O439" t="s">
        <v>1717</v>
      </c>
      <c r="Q439" t="s">
        <v>1718</v>
      </c>
      <c r="R439" t="s">
        <v>88</v>
      </c>
      <c r="S439" t="s">
        <v>94</v>
      </c>
      <c r="T439" t="s">
        <v>1719</v>
      </c>
      <c r="U439" t="s">
        <v>62</v>
      </c>
      <c r="W439" s="1">
        <v>34669</v>
      </c>
      <c r="X439">
        <v>1</v>
      </c>
      <c r="Y439">
        <v>1</v>
      </c>
      <c r="Z439">
        <v>2020</v>
      </c>
      <c r="AA439" t="s">
        <v>70</v>
      </c>
      <c r="AD439" t="s">
        <v>505</v>
      </c>
      <c r="AE439">
        <v>8742</v>
      </c>
      <c r="AF439" t="s">
        <v>506</v>
      </c>
      <c r="AI439">
        <v>87420500</v>
      </c>
      <c r="AJ439" t="s">
        <v>538</v>
      </c>
      <c r="AM439">
        <v>541611</v>
      </c>
      <c r="AN439" t="s">
        <v>510</v>
      </c>
      <c r="AQ439" t="s">
        <v>75</v>
      </c>
      <c r="AT439" t="s">
        <v>76</v>
      </c>
      <c r="BF439">
        <v>0</v>
      </c>
      <c r="BG439">
        <v>0</v>
      </c>
      <c r="CK439" s="19">
        <f>IF(BQ439&gt;0,BQ439,W439)</f>
        <v>34669</v>
      </c>
      <c r="CL439" s="20">
        <f>IF(BS439&gt;0,BS439,Y439)</f>
        <v>1</v>
      </c>
      <c r="CM439" s="34">
        <f>IF(CG439&gt;0,CG439,AM439)</f>
        <v>541611</v>
      </c>
      <c r="CN439" s="80">
        <f>IF($BH439="",1,COUNTIF($BH$3:$BH439,$BH439))</f>
        <v>1</v>
      </c>
      <c r="CP439" t="str">
        <f>IF($K439="Standard Match","Match",IF($K439="Name Only Match",IF($CO439="Yes","Match","Name Only Match"),"No Match"))</f>
        <v>Match</v>
      </c>
      <c r="CQ439" s="35" t="str">
        <f>IF(AND(CP439="Match",CK439&gt;0,CL439&gt;0),"Y","N")</f>
        <v>Y</v>
      </c>
      <c r="CS439" t="str">
        <f>IF($CQ439="Y",VLOOKUP($CM439,'SBA Size Standards'!$B$3:$G$57,MATCH('SBA Size Standards'!$G$3,'SBA Size Standards'!$B$3:$G$3,0),FALSE),"")</f>
        <v>Revenue</v>
      </c>
      <c r="CT439" s="60">
        <f>IF(CQ439="Y",IF($CS439="Employment","N/A",VLOOKUP($CM439,'SBA Size Standards'!$B$3:$G$57,MATCH('SBA Size Standards'!$E$3,'SBA Size Standards'!$B$3:$G$3,0),FALSE)),"")</f>
        <v>16500000</v>
      </c>
      <c r="CU439" s="86" t="str">
        <f>IF($CQ439="Y",IF($CS439="Revenue","N/A",VLOOKUP($CM439,'SBA Size Standards'!$B$3:$G$57,MATCH('SBA Size Standards'!$F$3,'SBA Size Standards'!$B$3:$G$3,0),FALSE)),"")</f>
        <v>N/A</v>
      </c>
      <c r="CV439" t="str">
        <f>IF($CQ439="Y",IF(OR(AND($CS439="Employment",$CL439&lt;$CU439),AND($CS439="Revenue",$CK439&lt;$CT439)),"YES","NO"),"")</f>
        <v>YES</v>
      </c>
      <c r="CW439" s="90" t="str">
        <f>IF($CQ439="Y",INDEX('SBA Size Standards'!$N$3:$N$12,MATCH($CK439,'SBA Size Standards'!$O$3:$O$12,1)),"")</f>
        <v>&lt; $50,001</v>
      </c>
      <c r="CX439" s="122" t="s">
        <v>4648</v>
      </c>
      <c r="CY439" s="122">
        <f>INDEX('NM O&amp;G Production'!$P$3:$P$537,MATCH(CX439,'NM O&amp;G Production'!$Q$3:$Q$537,0))</f>
        <v>236</v>
      </c>
      <c r="CZ439" s="122" t="str">
        <f>INDEX('NM O&amp;G Production'!$O$3:$O$537,MATCH(CY439,'NM O&amp;G Production'!$P$3:$P$537,0))</f>
        <v>Yes</v>
      </c>
      <c r="DA439" s="127">
        <f>INDEX('NM O&amp;G Production'!$K$3:$O$537,MATCH($CY439,'NM O&amp;G Production'!$P$3:$P$537,0),MATCH(DA$2,'NM O&amp;G Production'!$K$2:$O$2,0))</f>
        <v>7</v>
      </c>
      <c r="DB439" s="127">
        <f>INDEX('NM O&amp;G Production'!$K$3:$O$537,MATCH($CY439,'NM O&amp;G Production'!$P$3:$P$537,0),MATCH(DB$2,'NM O&amp;G Production'!$K$2:$O$2,0))</f>
        <v>7</v>
      </c>
      <c r="DC439" s="127">
        <f>DA439+DB439</f>
        <v>14</v>
      </c>
      <c r="DD439" s="127">
        <f>INDEX('NM O&amp;G Production'!$K$3:$O$537,MATCH($CY439,'NM O&amp;G Production'!$P$3:$P$537,0),MATCH(DD$2,'NM O&amp;G Production'!$K$2:$O$2,0))</f>
        <v>68173</v>
      </c>
      <c r="DE439" s="127">
        <f>INDEX('NM O&amp;G Production'!$K$3:$O$537,MATCH($CY439,'NM O&amp;G Production'!$P$3:$P$537,0),MATCH(DE$2,'NM O&amp;G Production'!$K$2:$O$2,0))</f>
        <v>1993</v>
      </c>
      <c r="DF439" s="258">
        <f>CK439/(DB439+DA439)</f>
        <v>2476.3571428571427</v>
      </c>
      <c r="DG439" s="57">
        <f>DD439*(12/18)*1.06*'Oil and Gas Prices'!$C$18</f>
        <v>115139.65213333335</v>
      </c>
      <c r="DH439" s="284">
        <f>DE439*(12/18)*'Oil and Gas Prices'!$C$4</f>
        <v>59789.999999999993</v>
      </c>
      <c r="DI439" s="284">
        <f>DG439+DH439</f>
        <v>174929.65213333335</v>
      </c>
      <c r="DJ439" s="57">
        <f>(DG439+DH439)/(DA439+DB439)</f>
        <v>12494.975152380954</v>
      </c>
      <c r="DK439" s="318"/>
    </row>
    <row r="440" spans="1:115" x14ac:dyDescent="0.25">
      <c r="A440" t="s">
        <v>2526</v>
      </c>
      <c r="B440" t="s">
        <v>2527</v>
      </c>
      <c r="D440" t="s">
        <v>83</v>
      </c>
      <c r="E440" t="s">
        <v>84</v>
      </c>
      <c r="F440">
        <v>88210</v>
      </c>
      <c r="G440" t="s">
        <v>62</v>
      </c>
      <c r="I440">
        <v>364</v>
      </c>
      <c r="J440" t="s">
        <v>63</v>
      </c>
      <c r="K440" t="s">
        <v>4133</v>
      </c>
      <c r="L440" t="s">
        <v>64</v>
      </c>
      <c r="M440">
        <v>10</v>
      </c>
      <c r="N440" t="s">
        <v>2528</v>
      </c>
      <c r="O440" t="s">
        <v>2529</v>
      </c>
      <c r="Q440" t="s">
        <v>2530</v>
      </c>
      <c r="R440" t="s">
        <v>83</v>
      </c>
      <c r="S440" t="s">
        <v>214</v>
      </c>
      <c r="T440" t="s">
        <v>2531</v>
      </c>
      <c r="U440" t="s">
        <v>62</v>
      </c>
      <c r="W440" s="1">
        <v>34669</v>
      </c>
      <c r="X440">
        <v>1</v>
      </c>
      <c r="Y440">
        <v>1</v>
      </c>
      <c r="Z440">
        <v>2017</v>
      </c>
      <c r="AA440" t="s">
        <v>70</v>
      </c>
      <c r="AD440" t="s">
        <v>505</v>
      </c>
      <c r="AE440">
        <v>8742</v>
      </c>
      <c r="AF440" t="s">
        <v>506</v>
      </c>
      <c r="AI440">
        <v>87420500</v>
      </c>
      <c r="AJ440" t="s">
        <v>538</v>
      </c>
      <c r="AM440">
        <v>541611</v>
      </c>
      <c r="AN440" t="s">
        <v>510</v>
      </c>
      <c r="AQ440" t="s">
        <v>75</v>
      </c>
      <c r="AT440" t="s">
        <v>76</v>
      </c>
      <c r="BF440">
        <v>0</v>
      </c>
      <c r="BG440">
        <v>0</v>
      </c>
      <c r="CK440" s="19">
        <f>IF(BQ440&gt;0,BQ440,W440)</f>
        <v>34669</v>
      </c>
      <c r="CL440" s="20">
        <f>IF(BS440&gt;0,BS440,Y440)</f>
        <v>1</v>
      </c>
      <c r="CM440" s="34">
        <f>IF(CG440&gt;0,CG440,AM440)</f>
        <v>541611</v>
      </c>
      <c r="CN440" s="80">
        <f>IF($BH440="",1,COUNTIF($BH$3:$BH440,$BH440))</f>
        <v>1</v>
      </c>
      <c r="CP440" t="str">
        <f>IF($K440="Standard Match","Match",IF($K440="Name Only Match",IF($CO440="Yes","Match","Name Only Match"),"No Match"))</f>
        <v>Match</v>
      </c>
      <c r="CQ440" s="35" t="str">
        <f>IF(AND(CP440="Match",CK440&gt;0,CL440&gt;0),"Y","N")</f>
        <v>Y</v>
      </c>
      <c r="CS440" t="str">
        <f>IF($CQ440="Y",VLOOKUP($CM440,'SBA Size Standards'!$B$3:$G$57,MATCH('SBA Size Standards'!$G$3,'SBA Size Standards'!$B$3:$G$3,0),FALSE),"")</f>
        <v>Revenue</v>
      </c>
      <c r="CT440" s="60">
        <f>IF(CQ440="Y",IF($CS440="Employment","N/A",VLOOKUP($CM440,'SBA Size Standards'!$B$3:$G$57,MATCH('SBA Size Standards'!$E$3,'SBA Size Standards'!$B$3:$G$3,0),FALSE)),"")</f>
        <v>16500000</v>
      </c>
      <c r="CU440" s="86" t="str">
        <f>IF($CQ440="Y",IF($CS440="Revenue","N/A",VLOOKUP($CM440,'SBA Size Standards'!$B$3:$G$57,MATCH('SBA Size Standards'!$F$3,'SBA Size Standards'!$B$3:$G$3,0),FALSE)),"")</f>
        <v>N/A</v>
      </c>
      <c r="CV440" t="str">
        <f>IF($CQ440="Y",IF(OR(AND($CS440="Employment",$CL440&lt;$CU440),AND($CS440="Revenue",$CK440&lt;$CT440)),"YES","NO"),"")</f>
        <v>YES</v>
      </c>
      <c r="CW440" s="90" t="str">
        <f>IF($CQ440="Y",INDEX('SBA Size Standards'!$N$3:$N$12,MATCH($CK440,'SBA Size Standards'!$O$3:$O$12,1)),"")</f>
        <v>&lt; $50,001</v>
      </c>
      <c r="CX440" s="122" t="s">
        <v>4700</v>
      </c>
      <c r="CY440" s="122">
        <f>INDEX('NM O&amp;G Production'!$P$3:$P$537,MATCH(CX440,'NM O&amp;G Production'!$Q$3:$Q$537,0))</f>
        <v>364</v>
      </c>
      <c r="CZ440" s="122" t="str">
        <f>INDEX('NM O&amp;G Production'!$O$3:$O$537,MATCH(CY440,'NM O&amp;G Production'!$P$3:$P$537,0))</f>
        <v>Yes</v>
      </c>
      <c r="DA440" s="127">
        <f>INDEX('NM O&amp;G Production'!$K$3:$O$537,MATCH($CY440,'NM O&amp;G Production'!$P$3:$P$537,0),MATCH(DA$2,'NM O&amp;G Production'!$K$2:$O$2,0))</f>
        <v>2</v>
      </c>
      <c r="DB440" s="127">
        <f>INDEX('NM O&amp;G Production'!$K$3:$O$537,MATCH($CY440,'NM O&amp;G Production'!$P$3:$P$537,0),MATCH(DB$2,'NM O&amp;G Production'!$K$2:$O$2,0))</f>
        <v>49</v>
      </c>
      <c r="DC440" s="127">
        <f>DA440+DB440</f>
        <v>51</v>
      </c>
      <c r="DD440" s="127">
        <f>INDEX('NM O&amp;G Production'!$K$3:$O$537,MATCH($CY440,'NM O&amp;G Production'!$P$3:$P$537,0),MATCH(DD$2,'NM O&amp;G Production'!$K$2:$O$2,0))</f>
        <v>28408</v>
      </c>
      <c r="DE440" s="127">
        <f>INDEX('NM O&amp;G Production'!$K$3:$O$537,MATCH($CY440,'NM O&amp;G Production'!$P$3:$P$537,0),MATCH(DE$2,'NM O&amp;G Production'!$K$2:$O$2,0))</f>
        <v>10547</v>
      </c>
      <c r="DF440" s="258">
        <f>CK440/(DB440+DA440)</f>
        <v>679.78431372549016</v>
      </c>
      <c r="DG440" s="57">
        <f>DD440*(12/18)*1.06*'Oil and Gas Prices'!$C$18</f>
        <v>47979.218133333328</v>
      </c>
      <c r="DH440" s="284">
        <f>DE440*(12/18)*'Oil and Gas Prices'!$C$4</f>
        <v>316410</v>
      </c>
      <c r="DI440" s="284">
        <f>DG440+DH440</f>
        <v>364389.21813333331</v>
      </c>
      <c r="DJ440" s="57">
        <f>(DG440+DH440)/(DA440+DB440)</f>
        <v>7144.886630065359</v>
      </c>
      <c r="DK440" s="318"/>
    </row>
    <row r="441" spans="1:115" x14ac:dyDescent="0.25">
      <c r="A441" t="s">
        <v>1504</v>
      </c>
      <c r="B441" t="s">
        <v>1505</v>
      </c>
      <c r="D441" t="s">
        <v>153</v>
      </c>
      <c r="E441" t="s">
        <v>80</v>
      </c>
      <c r="F441">
        <v>79705</v>
      </c>
      <c r="G441" t="s">
        <v>62</v>
      </c>
      <c r="I441">
        <v>203</v>
      </c>
      <c r="J441" t="s">
        <v>63</v>
      </c>
      <c r="K441" t="s">
        <v>4133</v>
      </c>
      <c r="L441" t="s">
        <v>113</v>
      </c>
      <c r="M441">
        <v>8</v>
      </c>
      <c r="N441" t="s">
        <v>1506</v>
      </c>
      <c r="O441" t="s">
        <v>1507</v>
      </c>
      <c r="Q441" t="s">
        <v>1416</v>
      </c>
      <c r="R441" t="s">
        <v>153</v>
      </c>
      <c r="S441" t="s">
        <v>94</v>
      </c>
      <c r="T441" t="s">
        <v>1417</v>
      </c>
      <c r="U441" t="s">
        <v>62</v>
      </c>
      <c r="W441" s="1">
        <v>34669</v>
      </c>
      <c r="X441">
        <v>1</v>
      </c>
      <c r="Y441">
        <v>1</v>
      </c>
      <c r="Z441">
        <v>2020</v>
      </c>
      <c r="AA441" t="s">
        <v>70</v>
      </c>
      <c r="AD441" t="s">
        <v>505</v>
      </c>
      <c r="AE441">
        <v>8742</v>
      </c>
      <c r="AF441" t="s">
        <v>506</v>
      </c>
      <c r="AI441">
        <v>87420500</v>
      </c>
      <c r="AJ441" t="s">
        <v>538</v>
      </c>
      <c r="AM441">
        <v>541611</v>
      </c>
      <c r="AN441" t="s">
        <v>510</v>
      </c>
      <c r="AQ441" t="s">
        <v>75</v>
      </c>
      <c r="AT441" t="s">
        <v>76</v>
      </c>
      <c r="BF441">
        <v>0</v>
      </c>
      <c r="BG441">
        <v>0</v>
      </c>
      <c r="CK441" s="19">
        <f>IF(BQ441&gt;0,BQ441,W441)</f>
        <v>34669</v>
      </c>
      <c r="CL441" s="20">
        <f>IF(BS441&gt;0,BS441,Y441)</f>
        <v>1</v>
      </c>
      <c r="CM441" s="34">
        <f>IF(CG441&gt;0,CG441,AM441)</f>
        <v>541611</v>
      </c>
      <c r="CN441" s="80">
        <f>IF($BH441="",1,COUNTIF($BH$3:$BH441,$BH441))</f>
        <v>1</v>
      </c>
      <c r="CP441" t="str">
        <f>IF($K441="Standard Match","Match",IF($K441="Name Only Match",IF($CO441="Yes","Match","Name Only Match"),"No Match"))</f>
        <v>Match</v>
      </c>
      <c r="CQ441" s="35" t="str">
        <f>IF(AND(CP441="Match",CK441&gt;0,CL441&gt;0),"Y","N")</f>
        <v>Y</v>
      </c>
      <c r="CS441" t="str">
        <f>IF($CQ441="Y",VLOOKUP($CM441,'SBA Size Standards'!$B$3:$G$57,MATCH('SBA Size Standards'!$G$3,'SBA Size Standards'!$B$3:$G$3,0),FALSE),"")</f>
        <v>Revenue</v>
      </c>
      <c r="CT441" s="60">
        <f>IF(CQ441="Y",IF($CS441="Employment","N/A",VLOOKUP($CM441,'SBA Size Standards'!$B$3:$G$57,MATCH('SBA Size Standards'!$E$3,'SBA Size Standards'!$B$3:$G$3,0),FALSE)),"")</f>
        <v>16500000</v>
      </c>
      <c r="CU441" s="86" t="str">
        <f>IF($CQ441="Y",IF($CS441="Revenue","N/A",VLOOKUP($CM441,'SBA Size Standards'!$B$3:$G$57,MATCH('SBA Size Standards'!$F$3,'SBA Size Standards'!$B$3:$G$3,0),FALSE)),"")</f>
        <v>N/A</v>
      </c>
      <c r="CV441" t="str">
        <f>IF($CQ441="Y",IF(OR(AND($CS441="Employment",$CL441&lt;$CU441),AND($CS441="Revenue",$CK441&lt;$CT441)),"YES","NO"),"")</f>
        <v>YES</v>
      </c>
      <c r="CW441" s="90" t="str">
        <f>IF($CQ441="Y",INDEX('SBA Size Standards'!$N$3:$N$12,MATCH($CK441,'SBA Size Standards'!$O$3:$O$12,1)),"")</f>
        <v>&lt; $50,001</v>
      </c>
      <c r="CX441" s="122" t="s">
        <v>4848</v>
      </c>
      <c r="CY441" s="122">
        <f>INDEX('NM O&amp;G Production'!$P$3:$P$537,MATCH(CX441,'NM O&amp;G Production'!$Q$3:$Q$537,0))</f>
        <v>203</v>
      </c>
      <c r="CZ441" s="122" t="str">
        <f>INDEX('NM O&amp;G Production'!$O$3:$O$537,MATCH(CY441,'NM O&amp;G Production'!$P$3:$P$537,0))</f>
        <v>Yes</v>
      </c>
      <c r="DA441" s="127">
        <f>INDEX('NM O&amp;G Production'!$K$3:$O$537,MATCH($CY441,'NM O&amp;G Production'!$P$3:$P$537,0),MATCH(DA$2,'NM O&amp;G Production'!$K$2:$O$2,0))</f>
        <v>0</v>
      </c>
      <c r="DB441" s="127">
        <f>INDEX('NM O&amp;G Production'!$K$3:$O$537,MATCH($CY441,'NM O&amp;G Production'!$P$3:$P$537,0),MATCH(DB$2,'NM O&amp;G Production'!$K$2:$O$2,0))</f>
        <v>1</v>
      </c>
      <c r="DC441" s="127">
        <f>DA441+DB441</f>
        <v>1</v>
      </c>
      <c r="DD441" s="127">
        <f>INDEX('NM O&amp;G Production'!$K$3:$O$537,MATCH($CY441,'NM O&amp;G Production'!$P$3:$P$537,0),MATCH(DD$2,'NM O&amp;G Production'!$K$2:$O$2,0))</f>
        <v>79</v>
      </c>
      <c r="DE441" s="127">
        <f>INDEX('NM O&amp;G Production'!$K$3:$O$537,MATCH($CY441,'NM O&amp;G Production'!$P$3:$P$537,0),MATCH(DE$2,'NM O&amp;G Production'!$K$2:$O$2,0))</f>
        <v>123</v>
      </c>
      <c r="DF441" s="258">
        <f>CK441/(DB441+DA441)</f>
        <v>34669</v>
      </c>
      <c r="DG441" s="57">
        <f>DD441*(12/18)*1.06*'Oil and Gas Prices'!$C$18</f>
        <v>133.42573333333334</v>
      </c>
      <c r="DH441" s="284">
        <f>DE441*(12/18)*'Oil and Gas Prices'!$C$4</f>
        <v>3690</v>
      </c>
      <c r="DI441" s="284">
        <f>DG441+DH441</f>
        <v>3823.4257333333335</v>
      </c>
      <c r="DJ441" s="57">
        <f>(DG441+DH441)/(DA441+DB441)</f>
        <v>3823.4257333333335</v>
      </c>
      <c r="DK441" s="318"/>
    </row>
    <row r="442" spans="1:115" x14ac:dyDescent="0.25">
      <c r="A442" t="s">
        <v>1929</v>
      </c>
      <c r="B442" t="s">
        <v>1930</v>
      </c>
      <c r="D442" t="s">
        <v>378</v>
      </c>
      <c r="E442" t="s">
        <v>80</v>
      </c>
      <c r="F442">
        <v>75201</v>
      </c>
      <c r="G442" t="s">
        <v>62</v>
      </c>
      <c r="I442">
        <v>267</v>
      </c>
      <c r="J442" t="s">
        <v>89</v>
      </c>
      <c r="K442" t="s">
        <v>4133</v>
      </c>
      <c r="L442" t="s">
        <v>247</v>
      </c>
      <c r="M442">
        <v>10</v>
      </c>
      <c r="N442" t="s">
        <v>1931</v>
      </c>
      <c r="O442" t="s">
        <v>1932</v>
      </c>
      <c r="Q442" t="s">
        <v>1933</v>
      </c>
      <c r="R442" t="s">
        <v>378</v>
      </c>
      <c r="S442" t="s">
        <v>94</v>
      </c>
      <c r="T442" t="s">
        <v>1934</v>
      </c>
      <c r="U442" t="s">
        <v>62</v>
      </c>
      <c r="V442">
        <v>2142275140</v>
      </c>
      <c r="W442" s="1">
        <v>27976</v>
      </c>
      <c r="X442">
        <v>1</v>
      </c>
      <c r="Y442">
        <v>1</v>
      </c>
      <c r="Z442">
        <v>2019</v>
      </c>
      <c r="AA442" t="s">
        <v>70</v>
      </c>
      <c r="AD442" t="s">
        <v>1300</v>
      </c>
      <c r="AE442">
        <v>7389</v>
      </c>
      <c r="AF442" t="s">
        <v>1301</v>
      </c>
      <c r="AI442">
        <v>73899999</v>
      </c>
      <c r="AJ442" t="s">
        <v>1935</v>
      </c>
      <c r="AM442">
        <v>561990</v>
      </c>
      <c r="AN442" t="s">
        <v>1936</v>
      </c>
      <c r="AQ442" t="s">
        <v>75</v>
      </c>
      <c r="AT442" t="s">
        <v>76</v>
      </c>
      <c r="BF442">
        <v>0</v>
      </c>
      <c r="BG442">
        <v>0</v>
      </c>
      <c r="CK442" s="19">
        <f>IF(BQ442&gt;0,BQ442,W442)</f>
        <v>27976</v>
      </c>
      <c r="CL442" s="20">
        <f>IF(BS442&gt;0,BS442,Y442)</f>
        <v>1</v>
      </c>
      <c r="CM442" s="34">
        <f>IF(CG442&gt;0,CG442,AM442)</f>
        <v>561990</v>
      </c>
      <c r="CN442" s="80">
        <f>IF($BH442="",1,COUNTIF($BH$3:$BH442,$BH442))</f>
        <v>1</v>
      </c>
      <c r="CP442" t="str">
        <f>IF($K442="Standard Match","Match",IF($K442="Name Only Match",IF($CO442="Yes","Match","Name Only Match"),"No Match"))</f>
        <v>Match</v>
      </c>
      <c r="CQ442" s="35" t="str">
        <f>IF(AND(CP442="Match",CK442&gt;0,CL442&gt;0),"Y","N")</f>
        <v>Y</v>
      </c>
      <c r="CS442" t="str">
        <f>IF($CQ442="Y",VLOOKUP($CM442,'SBA Size Standards'!$B$3:$G$57,MATCH('SBA Size Standards'!$G$3,'SBA Size Standards'!$B$3:$G$3,0),FALSE),"")</f>
        <v>Revenue</v>
      </c>
      <c r="CT442" s="60">
        <f>IF(CQ442="Y",IF($CS442="Employment","N/A",VLOOKUP($CM442,'SBA Size Standards'!$B$3:$G$57,MATCH('SBA Size Standards'!$E$3,'SBA Size Standards'!$B$3:$G$3,0),FALSE)),"")</f>
        <v>12000000</v>
      </c>
      <c r="CU442" s="86" t="str">
        <f>IF($CQ442="Y",IF($CS442="Revenue","N/A",VLOOKUP($CM442,'SBA Size Standards'!$B$3:$G$57,MATCH('SBA Size Standards'!$F$3,'SBA Size Standards'!$B$3:$G$3,0),FALSE)),"")</f>
        <v>N/A</v>
      </c>
      <c r="CV442" t="str">
        <f>IF($CQ442="Y",IF(OR(AND($CS442="Employment",$CL442&lt;$CU442),AND($CS442="Revenue",$CK442&lt;$CT442)),"YES","NO"),"")</f>
        <v>YES</v>
      </c>
      <c r="CW442" s="90" t="str">
        <f>IF($CQ442="Y",INDEX('SBA Size Standards'!$N$3:$N$12,MATCH($CK442,'SBA Size Standards'!$O$3:$O$12,1)),"")</f>
        <v>&lt; $50,001</v>
      </c>
      <c r="CX442" s="122" t="s">
        <v>4661</v>
      </c>
      <c r="CY442" s="122">
        <f>INDEX('NM O&amp;G Production'!$P$3:$P$537,MATCH(CX442,'NM O&amp;G Production'!$Q$3:$Q$537,0))</f>
        <v>267</v>
      </c>
      <c r="CZ442" s="122" t="str">
        <f>INDEX('NM O&amp;G Production'!$O$3:$O$537,MATCH(CY442,'NM O&amp;G Production'!$P$3:$P$537,0))</f>
        <v>No</v>
      </c>
      <c r="DA442" s="127">
        <f>INDEX('NM O&amp;G Production'!$K$3:$O$537,MATCH($CY442,'NM O&amp;G Production'!$P$3:$P$537,0),MATCH(DA$2,'NM O&amp;G Production'!$K$2:$O$2,0))</f>
        <v>0</v>
      </c>
      <c r="DB442" s="127">
        <f>INDEX('NM O&amp;G Production'!$K$3:$O$537,MATCH($CY442,'NM O&amp;G Production'!$P$3:$P$537,0),MATCH(DB$2,'NM O&amp;G Production'!$K$2:$O$2,0))</f>
        <v>0</v>
      </c>
      <c r="DC442" s="127"/>
      <c r="DD442" s="127">
        <f>INDEX('NM O&amp;G Production'!$K$3:$O$537,MATCH($CY442,'NM O&amp;G Production'!$P$3:$P$537,0),MATCH(DD$2,'NM O&amp;G Production'!$K$2:$O$2,0))</f>
        <v>0</v>
      </c>
      <c r="DE442" s="127">
        <f>INDEX('NM O&amp;G Production'!$K$3:$O$537,MATCH($CY442,'NM O&amp;G Production'!$P$3:$P$537,0),MATCH(DE$2,'NM O&amp;G Production'!$K$2:$O$2,0))</f>
        <v>0</v>
      </c>
      <c r="DF442" s="258" t="e">
        <f>CK442/(DB442+DA442)</f>
        <v>#DIV/0!</v>
      </c>
      <c r="DG442" s="57">
        <f>DD442*(12/18)*1.06*'Oil and Gas Prices'!$C$18</f>
        <v>0</v>
      </c>
      <c r="DH442" s="284">
        <f>DE442*(12/18)*'Oil and Gas Prices'!$C$4</f>
        <v>0</v>
      </c>
      <c r="DI442" s="284"/>
      <c r="DJ442" s="57" t="e">
        <f>(DG442+DH442)/(DA442+DB442)</f>
        <v>#DIV/0!</v>
      </c>
      <c r="DK442" s="18" t="e">
        <f>CK442/DI442</f>
        <v>#DIV/0!</v>
      </c>
    </row>
    <row r="443" spans="1:115" s="21" customFormat="1" x14ac:dyDescent="0.25">
      <c r="A443" t="s">
        <v>1373</v>
      </c>
      <c r="B443" t="s">
        <v>477</v>
      </c>
      <c r="C443"/>
      <c r="D443" t="s">
        <v>83</v>
      </c>
      <c r="E443" t="s">
        <v>84</v>
      </c>
      <c r="F443">
        <v>88211</v>
      </c>
      <c r="G443" t="s">
        <v>62</v>
      </c>
      <c r="H443"/>
      <c r="I443">
        <v>182</v>
      </c>
      <c r="J443" t="s">
        <v>63</v>
      </c>
      <c r="K443" t="s">
        <v>4133</v>
      </c>
      <c r="L443" t="s">
        <v>279</v>
      </c>
      <c r="M443">
        <v>8</v>
      </c>
      <c r="N443" t="s">
        <v>1374</v>
      </c>
      <c r="O443" t="s">
        <v>1375</v>
      </c>
      <c r="P443"/>
      <c r="Q443" t="s">
        <v>1376</v>
      </c>
      <c r="R443" t="s">
        <v>83</v>
      </c>
      <c r="S443" t="s">
        <v>214</v>
      </c>
      <c r="T443" t="s">
        <v>1377</v>
      </c>
      <c r="U443" t="s">
        <v>62</v>
      </c>
      <c r="V443">
        <v>5057464787</v>
      </c>
      <c r="W443" s="1">
        <v>27976</v>
      </c>
      <c r="X443">
        <v>1</v>
      </c>
      <c r="Y443">
        <v>1</v>
      </c>
      <c r="Z443">
        <v>2018</v>
      </c>
      <c r="AA443" t="s">
        <v>70</v>
      </c>
      <c r="AB443"/>
      <c r="AC443"/>
      <c r="AD443" t="s">
        <v>1300</v>
      </c>
      <c r="AE443">
        <v>7389</v>
      </c>
      <c r="AF443" t="s">
        <v>1301</v>
      </c>
      <c r="AG443"/>
      <c r="AH443"/>
      <c r="AI443">
        <v>73890000</v>
      </c>
      <c r="AJ443" t="s">
        <v>1378</v>
      </c>
      <c r="AK443"/>
      <c r="AL443"/>
      <c r="AM443">
        <v>561499</v>
      </c>
      <c r="AN443" t="s">
        <v>1303</v>
      </c>
      <c r="AO443"/>
      <c r="AP443"/>
      <c r="AQ443" t="s">
        <v>75</v>
      </c>
      <c r="AR443"/>
      <c r="AS443"/>
      <c r="AT443" t="s">
        <v>76</v>
      </c>
      <c r="AU443"/>
      <c r="AV443"/>
      <c r="AW443"/>
      <c r="AX443"/>
      <c r="AY443"/>
      <c r="AZ443"/>
      <c r="BA443"/>
      <c r="BB443"/>
      <c r="BC443"/>
      <c r="BD443"/>
      <c r="BE443"/>
      <c r="BF443">
        <v>0</v>
      </c>
      <c r="BG443">
        <v>0</v>
      </c>
      <c r="BH443" s="4"/>
      <c r="BI443" s="4"/>
      <c r="BJ443" s="4"/>
      <c r="BK443" s="4"/>
      <c r="BL443" s="4"/>
      <c r="BM443" s="4"/>
      <c r="BN443" s="4"/>
      <c r="BO443" s="4"/>
      <c r="BP443" s="4"/>
      <c r="BQ443" s="4"/>
      <c r="BR443" s="4"/>
      <c r="BS443" s="4"/>
      <c r="BT443" s="4"/>
      <c r="BU443" s="4"/>
      <c r="BV443" s="4"/>
      <c r="BW443" s="4"/>
      <c r="BX443" s="4"/>
      <c r="BY443" s="4"/>
      <c r="BZ443" s="4"/>
      <c r="CA443" s="4"/>
      <c r="CB443" s="4"/>
      <c r="CC443" s="4"/>
      <c r="CD443" s="4"/>
      <c r="CE443" s="4"/>
      <c r="CF443" s="4"/>
      <c r="CG443" s="4"/>
      <c r="CH443" s="4"/>
      <c r="CI443" s="4"/>
      <c r="CJ443" s="4"/>
      <c r="CK443" s="19">
        <f>IF(BQ443&gt;0,BQ443,W443)</f>
        <v>27976</v>
      </c>
      <c r="CL443" s="20">
        <f>IF(BS443&gt;0,BS443,Y443)</f>
        <v>1</v>
      </c>
      <c r="CM443" s="34">
        <f>IF(CG443&gt;0,CG443,AM443)</f>
        <v>561499</v>
      </c>
      <c r="CN443" s="80">
        <f>IF($BH443="",1,COUNTIF($BH$3:$BH443,$BH443))</f>
        <v>1</v>
      </c>
      <c r="CO443"/>
      <c r="CP443" t="str">
        <f>IF($K443="Standard Match","Match",IF($K443="Name Only Match",IF($CO443="Yes","Match","Name Only Match"),"No Match"))</f>
        <v>Match</v>
      </c>
      <c r="CQ443" s="35" t="str">
        <f>IF(AND(CP443="Match",CK443&gt;0,CL443&gt;0),"Y","N")</f>
        <v>Y</v>
      </c>
      <c r="CR443"/>
      <c r="CS443" t="str">
        <f>IF($CQ443="Y",VLOOKUP($CM443,'SBA Size Standards'!$B$3:$G$57,MATCH('SBA Size Standards'!$G$3,'SBA Size Standards'!$B$3:$G$3,0),FALSE),"")</f>
        <v>Revenue</v>
      </c>
      <c r="CT443" s="60">
        <f>IF(CQ443="Y",IF($CS443="Employment","N/A",VLOOKUP($CM443,'SBA Size Standards'!$B$3:$G$57,MATCH('SBA Size Standards'!$E$3,'SBA Size Standards'!$B$3:$G$3,0),FALSE)),"")</f>
        <v>16500000</v>
      </c>
      <c r="CU443" s="86" t="str">
        <f>IF($CQ443="Y",IF($CS443="Revenue","N/A",VLOOKUP($CM443,'SBA Size Standards'!$B$3:$G$57,MATCH('SBA Size Standards'!$F$3,'SBA Size Standards'!$B$3:$G$3,0),FALSE)),"")</f>
        <v>N/A</v>
      </c>
      <c r="CV443" t="str">
        <f>IF($CQ443="Y",IF(OR(AND($CS443="Employment",$CL443&lt;$CU443),AND($CS443="Revenue",$CK443&lt;$CT443)),"YES","NO"),"")</f>
        <v>YES</v>
      </c>
      <c r="CW443" s="90" t="str">
        <f>IF($CQ443="Y",INDEX('SBA Size Standards'!$N$3:$N$12,MATCH($CK443,'SBA Size Standards'!$O$3:$O$12,1)),"")</f>
        <v>&lt; $50,001</v>
      </c>
      <c r="CX443" s="122" t="s">
        <v>4846</v>
      </c>
      <c r="CY443" s="122">
        <f>INDEX('NM O&amp;G Production'!$P$3:$P$537,MATCH(CX443,'NM O&amp;G Production'!$Q$3:$Q$537,0))</f>
        <v>182</v>
      </c>
      <c r="CZ443" s="122" t="str">
        <f>INDEX('NM O&amp;G Production'!$O$3:$O$537,MATCH(CY443,'NM O&amp;G Production'!$P$3:$P$537,0))</f>
        <v>Yes</v>
      </c>
      <c r="DA443" s="127">
        <f>INDEX('NM O&amp;G Production'!$K$3:$O$537,MATCH($CY443,'NM O&amp;G Production'!$P$3:$P$537,0),MATCH(DA$2,'NM O&amp;G Production'!$K$2:$O$2,0))</f>
        <v>0</v>
      </c>
      <c r="DB443" s="127">
        <f>INDEX('NM O&amp;G Production'!$K$3:$O$537,MATCH($CY443,'NM O&amp;G Production'!$P$3:$P$537,0),MATCH(DB$2,'NM O&amp;G Production'!$K$2:$O$2,0))</f>
        <v>1</v>
      </c>
      <c r="DC443" s="127">
        <f>DA443+DB443</f>
        <v>1</v>
      </c>
      <c r="DD443" s="127">
        <f>INDEX('NM O&amp;G Production'!$K$3:$O$537,MATCH($CY443,'NM O&amp;G Production'!$P$3:$P$537,0),MATCH(DD$2,'NM O&amp;G Production'!$K$2:$O$2,0))</f>
        <v>0</v>
      </c>
      <c r="DE443" s="127">
        <f>INDEX('NM O&amp;G Production'!$K$3:$O$537,MATCH($CY443,'NM O&amp;G Production'!$P$3:$P$537,0),MATCH(DE$2,'NM O&amp;G Production'!$K$2:$O$2,0))</f>
        <v>17</v>
      </c>
      <c r="DF443" s="258">
        <f>CK443/(DB443+DA443)</f>
        <v>27976</v>
      </c>
      <c r="DG443" s="57">
        <f>DD443*(12/18)*1.06*'Oil and Gas Prices'!$C$18</f>
        <v>0</v>
      </c>
      <c r="DH443" s="284">
        <f>DE443*(12/18)*'Oil and Gas Prices'!$C$4</f>
        <v>509.99999999999994</v>
      </c>
      <c r="DI443" s="284">
        <f>DG443+DH443</f>
        <v>509.99999999999994</v>
      </c>
      <c r="DJ443" s="57">
        <f>(DG443+DH443)/(DA443+DB443)</f>
        <v>509.99999999999994</v>
      </c>
      <c r="DK443" s="318"/>
    </row>
    <row r="444" spans="1:115" s="21" customFormat="1" x14ac:dyDescent="0.25">
      <c r="A444" t="s">
        <v>907</v>
      </c>
      <c r="B444" t="s">
        <v>908</v>
      </c>
      <c r="C444"/>
      <c r="D444" t="s">
        <v>378</v>
      </c>
      <c r="E444" t="s">
        <v>80</v>
      </c>
      <c r="F444">
        <v>75201</v>
      </c>
      <c r="G444" t="s">
        <v>62</v>
      </c>
      <c r="H444"/>
      <c r="I444">
        <v>117</v>
      </c>
      <c r="J444" t="s">
        <v>63</v>
      </c>
      <c r="K444" t="s">
        <v>4133</v>
      </c>
      <c r="L444" t="s">
        <v>113</v>
      </c>
      <c r="M444">
        <v>8</v>
      </c>
      <c r="N444" t="s">
        <v>909</v>
      </c>
      <c r="O444" t="s">
        <v>910</v>
      </c>
      <c r="P444"/>
      <c r="Q444" t="s">
        <v>911</v>
      </c>
      <c r="R444" t="s">
        <v>378</v>
      </c>
      <c r="S444" t="s">
        <v>94</v>
      </c>
      <c r="T444" t="s">
        <v>912</v>
      </c>
      <c r="U444" t="s">
        <v>62</v>
      </c>
      <c r="V444">
        <v>9729206504</v>
      </c>
      <c r="W444" s="1">
        <v>25711</v>
      </c>
      <c r="X444">
        <v>1</v>
      </c>
      <c r="Y444">
        <v>1</v>
      </c>
      <c r="Z444">
        <v>2017</v>
      </c>
      <c r="AA444" t="s">
        <v>70</v>
      </c>
      <c r="AB444" t="s">
        <v>913</v>
      </c>
      <c r="AC444" t="s">
        <v>677</v>
      </c>
      <c r="AD444" t="s">
        <v>914</v>
      </c>
      <c r="AE444">
        <v>7629</v>
      </c>
      <c r="AF444" t="s">
        <v>915</v>
      </c>
      <c r="AG444"/>
      <c r="AH444"/>
      <c r="AI444">
        <v>76290000</v>
      </c>
      <c r="AJ444" t="s">
        <v>916</v>
      </c>
      <c r="AK444"/>
      <c r="AL444"/>
      <c r="AM444">
        <v>811412</v>
      </c>
      <c r="AN444" t="s">
        <v>917</v>
      </c>
      <c r="AO444"/>
      <c r="AP444"/>
      <c r="AQ444" t="s">
        <v>75</v>
      </c>
      <c r="AR444"/>
      <c r="AS444"/>
      <c r="AT444" t="s">
        <v>76</v>
      </c>
      <c r="AU444"/>
      <c r="AV444"/>
      <c r="AW444"/>
      <c r="AX444"/>
      <c r="AY444"/>
      <c r="AZ444"/>
      <c r="BA444"/>
      <c r="BB444"/>
      <c r="BC444"/>
      <c r="BD444"/>
      <c r="BE444"/>
      <c r="BF444">
        <v>0</v>
      </c>
      <c r="BG444">
        <v>0</v>
      </c>
      <c r="BH444" s="4"/>
      <c r="BI444" s="4"/>
      <c r="BJ444" s="4"/>
      <c r="BK444" s="4"/>
      <c r="BL444" s="4"/>
      <c r="BM444" s="4"/>
      <c r="BN444" s="4"/>
      <c r="BO444" s="4"/>
      <c r="BP444" s="4"/>
      <c r="BQ444" s="4"/>
      <c r="BR444" s="4"/>
      <c r="BS444" s="4"/>
      <c r="BT444" s="4"/>
      <c r="BU444" s="4"/>
      <c r="BV444" s="4"/>
      <c r="BW444" s="4"/>
      <c r="BX444" s="4"/>
      <c r="BY444" s="4"/>
      <c r="BZ444" s="4"/>
      <c r="CA444" s="4"/>
      <c r="CB444" s="4"/>
      <c r="CC444" s="4"/>
      <c r="CD444" s="4"/>
      <c r="CE444" s="4"/>
      <c r="CF444" s="4"/>
      <c r="CG444" s="4"/>
      <c r="CH444" s="4"/>
      <c r="CI444" s="4"/>
      <c r="CJ444" s="4"/>
      <c r="CK444" s="19">
        <f>IF(BQ444&gt;0,BQ444,W444)</f>
        <v>25711</v>
      </c>
      <c r="CL444" s="20">
        <f>IF(BS444&gt;0,BS444,Y444)</f>
        <v>1</v>
      </c>
      <c r="CM444" s="34">
        <f>IF(CG444&gt;0,CG444,AM444)</f>
        <v>811412</v>
      </c>
      <c r="CN444" s="80">
        <f>IF($BH444="",1,COUNTIF($BH$3:$BH444,$BH444))</f>
        <v>1</v>
      </c>
      <c r="CO444"/>
      <c r="CP444" t="str">
        <f>IF($K444="Standard Match","Match",IF($K444="Name Only Match",IF($CO444="Yes","Match","Name Only Match"),"No Match"))</f>
        <v>Match</v>
      </c>
      <c r="CQ444" s="35" t="str">
        <f>IF(AND(CP444="Match",CK444&gt;0,CL444&gt;0),"Y","N")</f>
        <v>Y</v>
      </c>
      <c r="CR444"/>
      <c r="CS444" t="str">
        <f>IF($CQ444="Y",VLOOKUP($CM444,'SBA Size Standards'!$B$3:$G$57,MATCH('SBA Size Standards'!$G$3,'SBA Size Standards'!$B$3:$G$3,0),FALSE),"")</f>
        <v>Revenue</v>
      </c>
      <c r="CT444" s="60">
        <f>IF(CQ444="Y",IF($CS444="Employment","N/A",VLOOKUP($CM444,'SBA Size Standards'!$B$3:$G$57,MATCH('SBA Size Standards'!$E$3,'SBA Size Standards'!$B$3:$G$3,0),FALSE)),"")</f>
        <v>16500000</v>
      </c>
      <c r="CU444" s="86" t="str">
        <f>IF($CQ444="Y",IF($CS444="Revenue","N/A",VLOOKUP($CM444,'SBA Size Standards'!$B$3:$G$57,MATCH('SBA Size Standards'!$F$3,'SBA Size Standards'!$B$3:$G$3,0),FALSE)),"")</f>
        <v>N/A</v>
      </c>
      <c r="CV444" t="str">
        <f>IF($CQ444="Y",IF(OR(AND($CS444="Employment",$CL444&lt;$CU444),AND($CS444="Revenue",$CK444&lt;$CT444)),"YES","NO"),"")</f>
        <v>YES</v>
      </c>
      <c r="CW444" s="90" t="str">
        <f>IF($CQ444="Y",INDEX('SBA Size Standards'!$N$3:$N$12,MATCH($CK444,'SBA Size Standards'!$O$3:$O$12,1)),"")</f>
        <v>&lt; $50,001</v>
      </c>
      <c r="CX444" s="122" t="s">
        <v>4829</v>
      </c>
      <c r="CY444" s="122">
        <f>INDEX('NM O&amp;G Production'!$P$3:$P$537,MATCH(CX444,'NM O&amp;G Production'!$Q$3:$Q$537,0))</f>
        <v>117</v>
      </c>
      <c r="CZ444" s="122" t="str">
        <f>INDEX('NM O&amp;G Production'!$O$3:$O$537,MATCH(CY444,'NM O&amp;G Production'!$P$3:$P$537,0))</f>
        <v>No</v>
      </c>
      <c r="DA444" s="127">
        <f>INDEX('NM O&amp;G Production'!$K$3:$O$537,MATCH($CY444,'NM O&amp;G Production'!$P$3:$P$537,0),MATCH(DA$2,'NM O&amp;G Production'!$K$2:$O$2,0))</f>
        <v>0</v>
      </c>
      <c r="DB444" s="127">
        <f>INDEX('NM O&amp;G Production'!$K$3:$O$537,MATCH($CY444,'NM O&amp;G Production'!$P$3:$P$537,0),MATCH(DB$2,'NM O&amp;G Production'!$K$2:$O$2,0))</f>
        <v>0</v>
      </c>
      <c r="DC444" s="127"/>
      <c r="DD444" s="127">
        <f>INDEX('NM O&amp;G Production'!$K$3:$O$537,MATCH($CY444,'NM O&amp;G Production'!$P$3:$P$537,0),MATCH(DD$2,'NM O&amp;G Production'!$K$2:$O$2,0))</f>
        <v>0</v>
      </c>
      <c r="DE444" s="127">
        <f>INDEX('NM O&amp;G Production'!$K$3:$O$537,MATCH($CY444,'NM O&amp;G Production'!$P$3:$P$537,0),MATCH(DE$2,'NM O&amp;G Production'!$K$2:$O$2,0))</f>
        <v>0</v>
      </c>
      <c r="DF444" s="258" t="e">
        <f>CK444/(DB444+DA444)</f>
        <v>#DIV/0!</v>
      </c>
      <c r="DG444" s="57">
        <f>DD444*(12/18)*1.06*'Oil and Gas Prices'!$C$18</f>
        <v>0</v>
      </c>
      <c r="DH444" s="284">
        <f>DE444*(12/18)*'Oil and Gas Prices'!$C$4</f>
        <v>0</v>
      </c>
      <c r="DI444" s="284"/>
      <c r="DJ444" s="57" t="e">
        <f>(DG444+DH444)/(DA444+DB444)</f>
        <v>#DIV/0!</v>
      </c>
      <c r="DK444" s="18" t="e">
        <f>CK444/DI444</f>
        <v>#DIV/0!</v>
      </c>
    </row>
    <row r="445" spans="1:115" x14ac:dyDescent="0.25">
      <c r="A445" t="s">
        <v>736</v>
      </c>
      <c r="B445" t="s">
        <v>737</v>
      </c>
      <c r="D445" t="s">
        <v>123</v>
      </c>
      <c r="E445" t="s">
        <v>84</v>
      </c>
      <c r="F445">
        <v>87499</v>
      </c>
      <c r="G445" t="s">
        <v>62</v>
      </c>
      <c r="I445">
        <v>91</v>
      </c>
      <c r="J445" t="s">
        <v>392</v>
      </c>
      <c r="K445" t="s">
        <v>4133</v>
      </c>
      <c r="L445" t="s">
        <v>149</v>
      </c>
      <c r="M445">
        <v>10</v>
      </c>
      <c r="N445" t="s">
        <v>738</v>
      </c>
      <c r="O445" t="s">
        <v>739</v>
      </c>
      <c r="Q445" t="s">
        <v>740</v>
      </c>
      <c r="R445" t="s">
        <v>123</v>
      </c>
      <c r="S445" t="s">
        <v>214</v>
      </c>
      <c r="T445" t="s">
        <v>741</v>
      </c>
      <c r="U445" t="s">
        <v>62</v>
      </c>
      <c r="V445">
        <v>5053270356</v>
      </c>
      <c r="W445" s="1">
        <v>4437</v>
      </c>
      <c r="X445">
        <v>13</v>
      </c>
      <c r="Y445">
        <v>20</v>
      </c>
      <c r="Z445">
        <v>1979</v>
      </c>
      <c r="AA445" t="s">
        <v>163</v>
      </c>
      <c r="AB445" t="s">
        <v>742</v>
      </c>
      <c r="AC445" t="s">
        <v>98</v>
      </c>
      <c r="AD445" t="s">
        <v>517</v>
      </c>
      <c r="AE445">
        <v>1381</v>
      </c>
      <c r="AF445" t="s">
        <v>518</v>
      </c>
      <c r="AI445">
        <v>13810000</v>
      </c>
      <c r="AJ445" t="s">
        <v>519</v>
      </c>
      <c r="AM445">
        <v>213111</v>
      </c>
      <c r="AN445" t="s">
        <v>518</v>
      </c>
      <c r="AQ445" t="s">
        <v>75</v>
      </c>
      <c r="AR445" t="s">
        <v>738</v>
      </c>
      <c r="AS445" t="s">
        <v>739</v>
      </c>
      <c r="AT445" t="s">
        <v>427</v>
      </c>
      <c r="AU445" t="s">
        <v>84</v>
      </c>
      <c r="AV445" t="s">
        <v>62</v>
      </c>
      <c r="AW445" t="s">
        <v>738</v>
      </c>
      <c r="AX445" t="s">
        <v>739</v>
      </c>
      <c r="AY445" t="s">
        <v>84</v>
      </c>
      <c r="AZ445" t="s">
        <v>62</v>
      </c>
      <c r="BE445" t="s">
        <v>62</v>
      </c>
      <c r="BF445">
        <v>1</v>
      </c>
      <c r="BG445">
        <v>3</v>
      </c>
      <c r="BH445" s="4" t="s">
        <v>738</v>
      </c>
      <c r="BI445" s="4" t="s">
        <v>739</v>
      </c>
      <c r="BK445" s="4" t="s">
        <v>740</v>
      </c>
      <c r="BL445" s="4" t="s">
        <v>123</v>
      </c>
      <c r="BM445" s="4" t="s">
        <v>214</v>
      </c>
      <c r="BN445" s="4" t="s">
        <v>741</v>
      </c>
      <c r="BO445" s="4" t="s">
        <v>62</v>
      </c>
      <c r="BP445" s="4">
        <v>5053270356</v>
      </c>
      <c r="BQ445" s="5">
        <v>4437</v>
      </c>
      <c r="BR445" s="4">
        <v>13</v>
      </c>
      <c r="BS445" s="4">
        <v>20</v>
      </c>
      <c r="BT445" s="4">
        <v>1979</v>
      </c>
      <c r="BU445" s="4" t="s">
        <v>163</v>
      </c>
      <c r="BV445" s="4" t="s">
        <v>742</v>
      </c>
      <c r="BW445" s="4" t="s">
        <v>98</v>
      </c>
      <c r="BX445" s="4" t="s">
        <v>517</v>
      </c>
      <c r="BY445" s="4">
        <v>1381</v>
      </c>
      <c r="BZ445" s="4" t="s">
        <v>518</v>
      </c>
      <c r="CC445" s="4">
        <v>13810000</v>
      </c>
      <c r="CD445" s="4" t="s">
        <v>519</v>
      </c>
      <c r="CG445" s="4">
        <v>213111</v>
      </c>
      <c r="CH445" s="4" t="s">
        <v>518</v>
      </c>
      <c r="CK445" s="19">
        <f>IF(BQ445&gt;0,BQ445,W445)</f>
        <v>4437</v>
      </c>
      <c r="CL445" s="20">
        <f>IF(BS445&gt;0,BS445,Y445)</f>
        <v>20</v>
      </c>
      <c r="CM445" s="34">
        <f>IF(CG445&gt;0,CG445,AM445)</f>
        <v>213111</v>
      </c>
      <c r="CN445" s="80">
        <f>IF($BH445="",1,COUNTIF($BH$3:$BH445,$BH445))</f>
        <v>1</v>
      </c>
      <c r="CP445" t="str">
        <f>IF($K445="Standard Match","Match",IF($K445="Name Only Match",IF($CO445="Yes","Match","Name Only Match"),"No Match"))</f>
        <v>Match</v>
      </c>
      <c r="CQ445" s="35" t="str">
        <f>IF(AND(CP445="Match",CK445&gt;0,CL445&gt;0),"Y","N")</f>
        <v>Y</v>
      </c>
      <c r="CS445" t="str">
        <f>IF($CQ445="Y",VLOOKUP($CM445,'SBA Size Standards'!$B$3:$G$57,MATCH('SBA Size Standards'!$G$3,'SBA Size Standards'!$B$3:$G$3,0),FALSE),"")</f>
        <v>Employment</v>
      </c>
      <c r="CT445" s="60" t="str">
        <f>IF(CQ445="Y",IF($CS445="Employment","N/A",VLOOKUP($CM445,'SBA Size Standards'!$B$3:$G$57,MATCH('SBA Size Standards'!$E$3,'SBA Size Standards'!$B$3:$G$3,0),FALSE)),"")</f>
        <v>N/A</v>
      </c>
      <c r="CU445" s="86">
        <f>IF($CQ445="Y",IF($CS445="Revenue","N/A",VLOOKUP($CM445,'SBA Size Standards'!$B$3:$G$57,MATCH('SBA Size Standards'!$F$3,'SBA Size Standards'!$B$3:$G$3,0),FALSE)),"")</f>
        <v>1000</v>
      </c>
      <c r="CV445" t="str">
        <f>IF($CQ445="Y",IF(OR(AND($CS445="Employment",$CL445&lt;$CU445),AND($CS445="Revenue",$CK445&lt;$CT445)),"YES","NO"),"")</f>
        <v>YES</v>
      </c>
      <c r="CW445" s="90" t="str">
        <f>IF($CQ445="Y",INDEX('SBA Size Standards'!$N$3:$N$12,MATCH($CK445,'SBA Size Standards'!$O$3:$O$12,1)),"")</f>
        <v>&lt; $50,001</v>
      </c>
      <c r="CX445" s="122" t="s">
        <v>4575</v>
      </c>
      <c r="CY445" s="122">
        <f>INDEX('NM O&amp;G Production'!$P$3:$P$537,MATCH(CX445,'NM O&amp;G Production'!$Q$3:$Q$537,0))</f>
        <v>91</v>
      </c>
      <c r="CZ445" s="122" t="str">
        <f>INDEX('NM O&amp;G Production'!$O$3:$O$537,MATCH(CY445,'NM O&amp;G Production'!$P$3:$P$537,0))</f>
        <v>Yes</v>
      </c>
      <c r="DA445" s="127">
        <f>INDEX('NM O&amp;G Production'!$K$3:$O$537,MATCH($CY445,'NM O&amp;G Production'!$P$3:$P$537,0),MATCH(DA$2,'NM O&amp;G Production'!$K$2:$O$2,0))</f>
        <v>7</v>
      </c>
      <c r="DB445" s="127">
        <f>INDEX('NM O&amp;G Production'!$K$3:$O$537,MATCH($CY445,'NM O&amp;G Production'!$P$3:$P$537,0),MATCH(DB$2,'NM O&amp;G Production'!$K$2:$O$2,0))</f>
        <v>11</v>
      </c>
      <c r="DC445" s="127">
        <f>DA445+DB445</f>
        <v>18</v>
      </c>
      <c r="DD445" s="127">
        <f>INDEX('NM O&amp;G Production'!$K$3:$O$537,MATCH($CY445,'NM O&amp;G Production'!$P$3:$P$537,0),MATCH(DD$2,'NM O&amp;G Production'!$K$2:$O$2,0))</f>
        <v>573948</v>
      </c>
      <c r="DE445" s="127">
        <f>INDEX('NM O&amp;G Production'!$K$3:$O$537,MATCH($CY445,'NM O&amp;G Production'!$P$3:$P$537,0),MATCH(DE$2,'NM O&amp;G Production'!$K$2:$O$2,0))</f>
        <v>1215</v>
      </c>
      <c r="DF445" s="258">
        <f>CK445/(DB445+DA445)</f>
        <v>246.5</v>
      </c>
      <c r="DG445" s="57">
        <f>DD445*(12/18)*1.06*'Oil and Gas Prices'!$C$18</f>
        <v>969359.90880000021</v>
      </c>
      <c r="DH445" s="284">
        <f>DE445*(12/18)*'Oil and Gas Prices'!$C$4</f>
        <v>36450</v>
      </c>
      <c r="DI445" s="284">
        <f>DG445+DH445</f>
        <v>1005809.9088000002</v>
      </c>
      <c r="DJ445" s="57">
        <f>(DG445+DH445)/(DA445+DB445)</f>
        <v>55878.328266666678</v>
      </c>
      <c r="DK445" s="318"/>
    </row>
    <row r="446" spans="1:115" s="21" customFormat="1" x14ac:dyDescent="0.25">
      <c r="A446" t="s">
        <v>693</v>
      </c>
      <c r="B446" t="s">
        <v>694</v>
      </c>
      <c r="C446"/>
      <c r="D446" t="s">
        <v>153</v>
      </c>
      <c r="E446" t="s">
        <v>80</v>
      </c>
      <c r="F446">
        <v>79701</v>
      </c>
      <c r="G446" t="s">
        <v>62</v>
      </c>
      <c r="H446"/>
      <c r="I446">
        <v>86</v>
      </c>
      <c r="J446" t="s">
        <v>404</v>
      </c>
      <c r="K446" t="s">
        <v>4133</v>
      </c>
      <c r="L446" t="s">
        <v>64</v>
      </c>
      <c r="M446">
        <v>10</v>
      </c>
      <c r="N446" t="s">
        <v>695</v>
      </c>
      <c r="O446" t="s">
        <v>696</v>
      </c>
      <c r="P446"/>
      <c r="Q446" t="s">
        <v>697</v>
      </c>
      <c r="R446" t="s">
        <v>153</v>
      </c>
      <c r="S446" t="s">
        <v>94</v>
      </c>
      <c r="T446" t="s">
        <v>698</v>
      </c>
      <c r="U446" t="s">
        <v>62</v>
      </c>
      <c r="V446">
        <v>4326871153</v>
      </c>
      <c r="W446"/>
      <c r="X446">
        <v>16</v>
      </c>
      <c r="Y446">
        <v>20</v>
      </c>
      <c r="Z446">
        <v>1984</v>
      </c>
      <c r="AA446" t="s">
        <v>70</v>
      </c>
      <c r="AB446" t="s">
        <v>699</v>
      </c>
      <c r="AC446" t="s">
        <v>669</v>
      </c>
      <c r="AD446" t="s">
        <v>700</v>
      </c>
      <c r="AE446">
        <v>2813</v>
      </c>
      <c r="AF446" t="s">
        <v>701</v>
      </c>
      <c r="AG446"/>
      <c r="AH446"/>
      <c r="AI446">
        <v>28130100</v>
      </c>
      <c r="AJ446" t="s">
        <v>702</v>
      </c>
      <c r="AK446"/>
      <c r="AL446"/>
      <c r="AM446">
        <v>325120</v>
      </c>
      <c r="AN446" t="s">
        <v>703</v>
      </c>
      <c r="AO446"/>
      <c r="AP446"/>
      <c r="AQ446" t="s">
        <v>75</v>
      </c>
      <c r="AR446"/>
      <c r="AS446"/>
      <c r="AT446" t="s">
        <v>76</v>
      </c>
      <c r="AU446"/>
      <c r="AV446"/>
      <c r="AW446"/>
      <c r="AX446"/>
      <c r="AY446"/>
      <c r="AZ446"/>
      <c r="BA446"/>
      <c r="BB446"/>
      <c r="BC446"/>
      <c r="BD446"/>
      <c r="BE446"/>
      <c r="BF446">
        <v>0</v>
      </c>
      <c r="BG446">
        <v>0</v>
      </c>
      <c r="BH446" s="4"/>
      <c r="BI446" s="4"/>
      <c r="BJ446" s="4"/>
      <c r="BK446" s="4"/>
      <c r="BL446" s="4"/>
      <c r="BM446" s="4"/>
      <c r="BN446" s="4"/>
      <c r="BO446" s="4"/>
      <c r="BP446" s="4"/>
      <c r="BQ446" s="4"/>
      <c r="BR446" s="4"/>
      <c r="BS446" s="4"/>
      <c r="BT446" s="4"/>
      <c r="BU446" s="4"/>
      <c r="BV446" s="4"/>
      <c r="BW446" s="4"/>
      <c r="BX446" s="4"/>
      <c r="BY446" s="4"/>
      <c r="BZ446" s="4"/>
      <c r="CA446" s="4"/>
      <c r="CB446" s="4"/>
      <c r="CC446" s="4"/>
      <c r="CD446" s="4"/>
      <c r="CE446" s="4"/>
      <c r="CF446" s="4"/>
      <c r="CG446" s="4"/>
      <c r="CH446" s="4"/>
      <c r="CI446" s="4"/>
      <c r="CJ446" s="4"/>
      <c r="CK446" s="19">
        <f>IF(BQ446&gt;0,BQ446,W446)</f>
        <v>0</v>
      </c>
      <c r="CL446" s="20">
        <f>IF(BS446&gt;0,BS446,Y446)</f>
        <v>20</v>
      </c>
      <c r="CM446" s="78">
        <f>IF(CG446&gt;0,CG446,AM446)</f>
        <v>325120</v>
      </c>
      <c r="CN446" s="80">
        <f>IF($BH446="",1,COUNTIF($BH$3:$BH446,$BH446))</f>
        <v>1</v>
      </c>
      <c r="CO446"/>
      <c r="CP446" t="str">
        <f>IF($K446="Standard Match","Match",IF($K446="Name Only Match",IF($CO446="Yes","Match","Name Only Match"),"No Match"))</f>
        <v>Match</v>
      </c>
      <c r="CQ446" s="35" t="str">
        <f>IF(AND(CP446="Match",CK446&gt;0,CL446&gt;0),"Y","N")</f>
        <v>N</v>
      </c>
      <c r="CR446"/>
      <c r="CS446" t="str">
        <f>IF($CQ446="Y",VLOOKUP($CM446,'SBA Size Standards'!$B$3:$G$57,MATCH('SBA Size Standards'!$G$3,'SBA Size Standards'!$B$3:$G$3,0),FALSE),"")</f>
        <v/>
      </c>
      <c r="CT446" s="60" t="str">
        <f>IF(CQ446="Y",IF($CS446="Employment","N/A",VLOOKUP($CM446,'SBA Size Standards'!$B$3:$G$57,MATCH('SBA Size Standards'!$E$3,'SBA Size Standards'!$B$3:$G$3,0),FALSE)),"")</f>
        <v/>
      </c>
      <c r="CU446" s="86" t="str">
        <f>IF($CQ446="Y",IF($CS446="Revenue","N/A",VLOOKUP($CM446,'SBA Size Standards'!$B$3:$G$57,MATCH('SBA Size Standards'!$F$3,'SBA Size Standards'!$B$3:$G$3,0),FALSE)),"")</f>
        <v/>
      </c>
      <c r="CV446" t="str">
        <f>IF($CQ446="Y",IF(OR(AND($CS446="Employment",$CL446&lt;$CU446),AND($CS446="Revenue",$CK446&lt;$CT446)),"YES","NO"),"")</f>
        <v/>
      </c>
      <c r="CW446" s="90" t="str">
        <f>IF($CQ446="Y",INDEX('SBA Size Standards'!$N$3:$N$12,MATCH($CK446,'SBA Size Standards'!$O$3:$O$12,1)),"")</f>
        <v/>
      </c>
      <c r="CX446" s="122" t="s">
        <v>4572</v>
      </c>
      <c r="CY446" s="122">
        <f>INDEX('NM O&amp;G Production'!$P$3:$P$537,MATCH(CX446,'NM O&amp;G Production'!$Q$3:$Q$537,0))</f>
        <v>86</v>
      </c>
      <c r="CZ446" s="122" t="str">
        <f>INDEX('NM O&amp;G Production'!$O$3:$O$537,MATCH(CY446,'NM O&amp;G Production'!$P$3:$P$537,0))</f>
        <v>No</v>
      </c>
      <c r="DA446" s="127">
        <f>INDEX('NM O&amp;G Production'!$K$3:$O$537,MATCH($CY446,'NM O&amp;G Production'!$P$3:$P$537,0),MATCH(DA$2,'NM O&amp;G Production'!$K$2:$O$2,0))</f>
        <v>0</v>
      </c>
      <c r="DB446" s="127">
        <f>INDEX('NM O&amp;G Production'!$K$3:$O$537,MATCH($CY446,'NM O&amp;G Production'!$P$3:$P$537,0),MATCH(DB$2,'NM O&amp;G Production'!$K$2:$O$2,0))</f>
        <v>0</v>
      </c>
      <c r="DC446" s="127"/>
      <c r="DD446" s="127">
        <f>INDEX('NM O&amp;G Production'!$K$3:$O$537,MATCH($CY446,'NM O&amp;G Production'!$P$3:$P$537,0),MATCH(DD$2,'NM O&amp;G Production'!$K$2:$O$2,0))</f>
        <v>0</v>
      </c>
      <c r="DE446" s="127">
        <f>INDEX('NM O&amp;G Production'!$K$3:$O$537,MATCH($CY446,'NM O&amp;G Production'!$P$3:$P$537,0),MATCH(DE$2,'NM O&amp;G Production'!$K$2:$O$2,0))</f>
        <v>0</v>
      </c>
      <c r="DF446" s="258" t="e">
        <f>CK446/(DB446+DA446)</f>
        <v>#DIV/0!</v>
      </c>
      <c r="DG446" s="57">
        <f>DD446*(12/18)*1.06*'Oil and Gas Prices'!$C$18</f>
        <v>0</v>
      </c>
      <c r="DH446" s="284">
        <f>DE446*(12/18)*'Oil and Gas Prices'!$C$4</f>
        <v>0</v>
      </c>
      <c r="DI446" s="284"/>
      <c r="DJ446" s="57" t="e">
        <f>(DG446+DH446)/(DA446+DB446)</f>
        <v>#DIV/0!</v>
      </c>
      <c r="DK446" s="18" t="e">
        <f>CK446/DI446</f>
        <v>#DIV/0!</v>
      </c>
    </row>
    <row r="447" spans="1:115" x14ac:dyDescent="0.25">
      <c r="A447" t="s">
        <v>1752</v>
      </c>
      <c r="B447" t="s">
        <v>1753</v>
      </c>
      <c r="D447" t="s">
        <v>183</v>
      </c>
      <c r="E447" t="s">
        <v>184</v>
      </c>
      <c r="F447">
        <v>74131</v>
      </c>
      <c r="G447" t="s">
        <v>62</v>
      </c>
      <c r="I447">
        <v>241</v>
      </c>
      <c r="J447" t="s">
        <v>404</v>
      </c>
      <c r="K447" t="s">
        <v>4133</v>
      </c>
      <c r="L447" t="s">
        <v>64</v>
      </c>
      <c r="M447">
        <v>10</v>
      </c>
      <c r="N447" t="s">
        <v>1754</v>
      </c>
      <c r="O447" t="s">
        <v>1755</v>
      </c>
      <c r="P447" t="s">
        <v>1756</v>
      </c>
      <c r="Q447" t="s">
        <v>1757</v>
      </c>
      <c r="R447" t="s">
        <v>183</v>
      </c>
      <c r="S447" t="s">
        <v>188</v>
      </c>
      <c r="T447" t="s">
        <v>1758</v>
      </c>
      <c r="U447" t="s">
        <v>62</v>
      </c>
      <c r="V447">
        <v>9184461801</v>
      </c>
      <c r="X447">
        <v>106</v>
      </c>
      <c r="Y447">
        <v>114</v>
      </c>
      <c r="AA447" t="s">
        <v>70</v>
      </c>
      <c r="AB447" t="s">
        <v>1759</v>
      </c>
      <c r="AC447" t="s">
        <v>165</v>
      </c>
      <c r="AD447" t="s">
        <v>1760</v>
      </c>
      <c r="AE447">
        <v>3563</v>
      </c>
      <c r="AF447" t="s">
        <v>1761</v>
      </c>
      <c r="AG447">
        <v>3569</v>
      </c>
      <c r="AH447" t="s">
        <v>1762</v>
      </c>
      <c r="AI447">
        <v>35630100</v>
      </c>
      <c r="AJ447" t="s">
        <v>1763</v>
      </c>
      <c r="AK447">
        <v>35690401</v>
      </c>
      <c r="AL447" t="s">
        <v>1764</v>
      </c>
      <c r="AM447">
        <v>333912</v>
      </c>
      <c r="AN447" t="s">
        <v>1765</v>
      </c>
      <c r="AO447">
        <v>333999</v>
      </c>
      <c r="AP447" t="s">
        <v>1766</v>
      </c>
      <c r="AQ447" t="s">
        <v>75</v>
      </c>
      <c r="AT447" t="s">
        <v>76</v>
      </c>
      <c r="BF447">
        <v>0</v>
      </c>
      <c r="BG447">
        <v>0</v>
      </c>
      <c r="CK447" s="19">
        <f>IF(BQ447&gt;0,BQ447,W447)</f>
        <v>0</v>
      </c>
      <c r="CL447" s="20">
        <f>IF(BS447&gt;0,BS447,Y447)</f>
        <v>114</v>
      </c>
      <c r="CM447" s="78">
        <f>IF(CG447&gt;0,CG447,AM447)</f>
        <v>333912</v>
      </c>
      <c r="CN447" s="80">
        <f>IF($BH447="",1,COUNTIF($BH$3:$BH447,$BH447))</f>
        <v>1</v>
      </c>
      <c r="CP447" t="str">
        <f>IF($K447="Standard Match","Match",IF($K447="Name Only Match",IF($CO447="Yes","Match","Name Only Match"),"No Match"))</f>
        <v>Match</v>
      </c>
      <c r="CQ447" s="35" t="str">
        <f>IF(AND(CP447="Match",CK447&gt;0,CL447&gt;0),"Y","N")</f>
        <v>N</v>
      </c>
      <c r="CS447" t="str">
        <f>IF($CQ447="Y",VLOOKUP($CM447,'SBA Size Standards'!$B$3:$G$57,MATCH('SBA Size Standards'!$G$3,'SBA Size Standards'!$B$3:$G$3,0),FALSE),"")</f>
        <v/>
      </c>
      <c r="CT447" s="60" t="str">
        <f>IF(CQ447="Y",IF($CS447="Employment","N/A",VLOOKUP($CM447,'SBA Size Standards'!$B$3:$G$57,MATCH('SBA Size Standards'!$E$3,'SBA Size Standards'!$B$3:$G$3,0),FALSE)),"")</f>
        <v/>
      </c>
      <c r="CU447" s="86" t="str">
        <f>IF($CQ447="Y",IF($CS447="Revenue","N/A",VLOOKUP($CM447,'SBA Size Standards'!$B$3:$G$57,MATCH('SBA Size Standards'!$F$3,'SBA Size Standards'!$B$3:$G$3,0),FALSE)),"")</f>
        <v/>
      </c>
      <c r="CV447" t="str">
        <f>IF($CQ447="Y",IF(OR(AND($CS447="Employment",$CL447&lt;$CU447),AND($CS447="Revenue",$CK447&lt;$CT447)),"YES","NO"),"")</f>
        <v/>
      </c>
      <c r="CW447" s="90" t="str">
        <f>IF($CQ447="Y",INDEX('SBA Size Standards'!$N$3:$N$12,MATCH($CK447,'SBA Size Standards'!$O$3:$O$12,1)),"")</f>
        <v/>
      </c>
      <c r="CX447" s="122" t="s">
        <v>4652</v>
      </c>
      <c r="CY447" s="122">
        <f>INDEX('NM O&amp;G Production'!$P$3:$P$537,MATCH(CX447,'NM O&amp;G Production'!$Q$3:$Q$537,0))</f>
        <v>241</v>
      </c>
      <c r="CZ447" s="122" t="str">
        <f>INDEX('NM O&amp;G Production'!$O$3:$O$537,MATCH(CY447,'NM O&amp;G Production'!$P$3:$P$537,0))</f>
        <v>No</v>
      </c>
      <c r="DA447" s="127">
        <f>INDEX('NM O&amp;G Production'!$K$3:$O$537,MATCH($CY447,'NM O&amp;G Production'!$P$3:$P$537,0),MATCH(DA$2,'NM O&amp;G Production'!$K$2:$O$2,0))</f>
        <v>0</v>
      </c>
      <c r="DB447" s="127">
        <f>INDEX('NM O&amp;G Production'!$K$3:$O$537,MATCH($CY447,'NM O&amp;G Production'!$P$3:$P$537,0),MATCH(DB$2,'NM O&amp;G Production'!$K$2:$O$2,0))</f>
        <v>0</v>
      </c>
      <c r="DC447" s="127"/>
      <c r="DD447" s="127">
        <f>INDEX('NM O&amp;G Production'!$K$3:$O$537,MATCH($CY447,'NM O&amp;G Production'!$P$3:$P$537,0),MATCH(DD$2,'NM O&amp;G Production'!$K$2:$O$2,0))</f>
        <v>0</v>
      </c>
      <c r="DE447" s="127">
        <f>INDEX('NM O&amp;G Production'!$K$3:$O$537,MATCH($CY447,'NM O&amp;G Production'!$P$3:$P$537,0),MATCH(DE$2,'NM O&amp;G Production'!$K$2:$O$2,0))</f>
        <v>0</v>
      </c>
      <c r="DF447" s="258" t="e">
        <f>CK447/(DB447+DA447)</f>
        <v>#DIV/0!</v>
      </c>
      <c r="DG447" s="57">
        <f>DD447*(12/18)*1.06*'Oil and Gas Prices'!$C$18</f>
        <v>0</v>
      </c>
      <c r="DH447" s="284">
        <f>DE447*(12/18)*'Oil and Gas Prices'!$C$4</f>
        <v>0</v>
      </c>
      <c r="DI447" s="284"/>
      <c r="DJ447" s="57" t="e">
        <f>(DG447+DH447)/(DA447+DB447)</f>
        <v>#DIV/0!</v>
      </c>
      <c r="DK447" s="18" t="e">
        <f>CK447/DI447</f>
        <v>#DIV/0!</v>
      </c>
    </row>
    <row r="448" spans="1:115" s="21" customFormat="1" x14ac:dyDescent="0.25">
      <c r="A448" t="s">
        <v>1767</v>
      </c>
      <c r="B448" t="s">
        <v>1768</v>
      </c>
      <c r="C448"/>
      <c r="D448" t="s">
        <v>183</v>
      </c>
      <c r="E448" t="s">
        <v>184</v>
      </c>
      <c r="F448">
        <v>74136</v>
      </c>
      <c r="G448" t="s">
        <v>62</v>
      </c>
      <c r="H448"/>
      <c r="I448">
        <v>242</v>
      </c>
      <c r="J448" t="s">
        <v>404</v>
      </c>
      <c r="K448" t="s">
        <v>4133</v>
      </c>
      <c r="L448" t="s">
        <v>64</v>
      </c>
      <c r="M448">
        <v>10</v>
      </c>
      <c r="N448" t="s">
        <v>1769</v>
      </c>
      <c r="O448" t="s">
        <v>1770</v>
      </c>
      <c r="P448"/>
      <c r="Q448" t="s">
        <v>1771</v>
      </c>
      <c r="R448" t="s">
        <v>183</v>
      </c>
      <c r="S448" t="s">
        <v>188</v>
      </c>
      <c r="T448" t="s">
        <v>1772</v>
      </c>
      <c r="U448" t="s">
        <v>62</v>
      </c>
      <c r="V448">
        <v>9184888380</v>
      </c>
      <c r="W448"/>
      <c r="X448">
        <v>70</v>
      </c>
      <c r="Y448">
        <v>99</v>
      </c>
      <c r="Z448"/>
      <c r="AA448" t="s">
        <v>70</v>
      </c>
      <c r="AB448" t="s">
        <v>1773</v>
      </c>
      <c r="AC448" t="s">
        <v>98</v>
      </c>
      <c r="AD448" t="s">
        <v>119</v>
      </c>
      <c r="AE448">
        <v>1382</v>
      </c>
      <c r="AF448" t="s">
        <v>120</v>
      </c>
      <c r="AG448">
        <v>1311</v>
      </c>
      <c r="AH448" t="s">
        <v>100</v>
      </c>
      <c r="AI448">
        <v>13820000</v>
      </c>
      <c r="AJ448" t="s">
        <v>119</v>
      </c>
      <c r="AK448">
        <v>13110100</v>
      </c>
      <c r="AL448" t="s">
        <v>411</v>
      </c>
      <c r="AM448">
        <v>213112</v>
      </c>
      <c r="AN448" t="s">
        <v>74</v>
      </c>
      <c r="AO448">
        <v>211120</v>
      </c>
      <c r="AP448" t="s">
        <v>104</v>
      </c>
      <c r="AQ448" t="s">
        <v>75</v>
      </c>
      <c r="AR448"/>
      <c r="AS448"/>
      <c r="AT448" t="s">
        <v>76</v>
      </c>
      <c r="AU448"/>
      <c r="AV448"/>
      <c r="AW448"/>
      <c r="AX448"/>
      <c r="AY448"/>
      <c r="AZ448"/>
      <c r="BA448"/>
      <c r="BB448"/>
      <c r="BC448"/>
      <c r="BD448"/>
      <c r="BE448"/>
      <c r="BF448">
        <v>0</v>
      </c>
      <c r="BG448">
        <v>0</v>
      </c>
      <c r="BH448" s="4"/>
      <c r="BI448" s="4"/>
      <c r="BJ448" s="4"/>
      <c r="BK448" s="4"/>
      <c r="BL448" s="4"/>
      <c r="BM448" s="4"/>
      <c r="BN448" s="4"/>
      <c r="BO448" s="4"/>
      <c r="BP448" s="4"/>
      <c r="BQ448" s="4"/>
      <c r="BR448" s="4"/>
      <c r="BS448" s="4"/>
      <c r="BT448" s="4"/>
      <c r="BU448" s="4"/>
      <c r="BV448" s="4"/>
      <c r="BW448" s="4"/>
      <c r="BX448" s="4"/>
      <c r="BY448" s="4"/>
      <c r="BZ448" s="4"/>
      <c r="CA448" s="4"/>
      <c r="CB448" s="4"/>
      <c r="CC448" s="4"/>
      <c r="CD448" s="4"/>
      <c r="CE448" s="4"/>
      <c r="CF448" s="4"/>
      <c r="CG448" s="4"/>
      <c r="CH448" s="4"/>
      <c r="CI448" s="4"/>
      <c r="CJ448" s="4"/>
      <c r="CK448" s="19">
        <f>IF(BQ448&gt;0,BQ448,W448)</f>
        <v>0</v>
      </c>
      <c r="CL448" s="20">
        <f>IF(BS448&gt;0,BS448,Y448)</f>
        <v>99</v>
      </c>
      <c r="CM448" s="78">
        <f>IF(CG448&gt;0,CG448,AM448)</f>
        <v>213112</v>
      </c>
      <c r="CN448" s="80">
        <f>IF($BH448="",1,COUNTIF($BH$3:$BH448,$BH448))</f>
        <v>1</v>
      </c>
      <c r="CO448"/>
      <c r="CP448" t="str">
        <f>IF($K448="Standard Match","Match",IF($K448="Name Only Match",IF($CO448="Yes","Match","Name Only Match"),"No Match"))</f>
        <v>Match</v>
      </c>
      <c r="CQ448" s="35" t="str">
        <f>IF(AND(CP448="Match",CK448&gt;0,CL448&gt;0),"Y","N")</f>
        <v>N</v>
      </c>
      <c r="CR448"/>
      <c r="CS448" t="str">
        <f>IF($CQ448="Y",VLOOKUP($CM448,'SBA Size Standards'!$B$3:$G$57,MATCH('SBA Size Standards'!$G$3,'SBA Size Standards'!$B$3:$G$3,0),FALSE),"")</f>
        <v/>
      </c>
      <c r="CT448" s="60" t="str">
        <f>IF(CQ448="Y",IF($CS448="Employment","N/A",VLOOKUP($CM448,'SBA Size Standards'!$B$3:$G$57,MATCH('SBA Size Standards'!$E$3,'SBA Size Standards'!$B$3:$G$3,0),FALSE)),"")</f>
        <v/>
      </c>
      <c r="CU448" s="86" t="str">
        <f>IF($CQ448="Y",IF($CS448="Revenue","N/A",VLOOKUP($CM448,'SBA Size Standards'!$B$3:$G$57,MATCH('SBA Size Standards'!$F$3,'SBA Size Standards'!$B$3:$G$3,0),FALSE)),"")</f>
        <v/>
      </c>
      <c r="CV448" t="str">
        <f>IF($CQ448="Y",IF(OR(AND($CS448="Employment",$CL448&lt;$CU448),AND($CS448="Revenue",$CK448&lt;$CT448)),"YES","NO"),"")</f>
        <v/>
      </c>
      <c r="CW448" s="90" t="str">
        <f>IF($CQ448="Y",INDEX('SBA Size Standards'!$N$3:$N$12,MATCH($CK448,'SBA Size Standards'!$O$3:$O$12,1)),"")</f>
        <v/>
      </c>
      <c r="CX448" s="122" t="s">
        <v>4653</v>
      </c>
      <c r="CY448" s="122">
        <f>INDEX('NM O&amp;G Production'!$P$3:$P$537,MATCH(CX448,'NM O&amp;G Production'!$Q$3:$Q$537,0))</f>
        <v>242</v>
      </c>
      <c r="CZ448" s="122" t="str">
        <f>INDEX('NM O&amp;G Production'!$O$3:$O$537,MATCH(CY448,'NM O&amp;G Production'!$P$3:$P$537,0))</f>
        <v>No</v>
      </c>
      <c r="DA448" s="127">
        <f>INDEX('NM O&amp;G Production'!$K$3:$O$537,MATCH($CY448,'NM O&amp;G Production'!$P$3:$P$537,0),MATCH(DA$2,'NM O&amp;G Production'!$K$2:$O$2,0))</f>
        <v>0</v>
      </c>
      <c r="DB448" s="127">
        <f>INDEX('NM O&amp;G Production'!$K$3:$O$537,MATCH($CY448,'NM O&amp;G Production'!$P$3:$P$537,0),MATCH(DB$2,'NM O&amp;G Production'!$K$2:$O$2,0))</f>
        <v>0</v>
      </c>
      <c r="DC448" s="127"/>
      <c r="DD448" s="127">
        <f>INDEX('NM O&amp;G Production'!$K$3:$O$537,MATCH($CY448,'NM O&amp;G Production'!$P$3:$P$537,0),MATCH(DD$2,'NM O&amp;G Production'!$K$2:$O$2,0))</f>
        <v>0</v>
      </c>
      <c r="DE448" s="127">
        <f>INDEX('NM O&amp;G Production'!$K$3:$O$537,MATCH($CY448,'NM O&amp;G Production'!$P$3:$P$537,0),MATCH(DE$2,'NM O&amp;G Production'!$K$2:$O$2,0))</f>
        <v>0</v>
      </c>
      <c r="DF448" s="258" t="e">
        <f>CK448/(DB448+DA448)</f>
        <v>#DIV/0!</v>
      </c>
      <c r="DG448" s="57">
        <f>DD448*(12/18)*1.06*'Oil and Gas Prices'!$C$18</f>
        <v>0</v>
      </c>
      <c r="DH448" s="284">
        <f>DE448*(12/18)*'Oil and Gas Prices'!$C$4</f>
        <v>0</v>
      </c>
      <c r="DI448" s="284"/>
      <c r="DJ448" s="57" t="e">
        <f>(DG448+DH448)/(DA448+DB448)</f>
        <v>#DIV/0!</v>
      </c>
      <c r="DK448" s="18" t="e">
        <f>CK448/DI448</f>
        <v>#DIV/0!</v>
      </c>
    </row>
    <row r="449" spans="1:115" s="21" customFormat="1" x14ac:dyDescent="0.25">
      <c r="A449" t="s">
        <v>2116</v>
      </c>
      <c r="B449" t="s">
        <v>2117</v>
      </c>
      <c r="C449"/>
      <c r="D449" t="s">
        <v>209</v>
      </c>
      <c r="E449" t="s">
        <v>84</v>
      </c>
      <c r="F449">
        <v>88201</v>
      </c>
      <c r="G449" t="s">
        <v>62</v>
      </c>
      <c r="H449"/>
      <c r="I449">
        <v>300</v>
      </c>
      <c r="J449" t="s">
        <v>404</v>
      </c>
      <c r="K449" t="s">
        <v>4133</v>
      </c>
      <c r="L449" t="s">
        <v>149</v>
      </c>
      <c r="M449">
        <v>10</v>
      </c>
      <c r="N449" t="s">
        <v>2118</v>
      </c>
      <c r="O449" t="s">
        <v>2116</v>
      </c>
      <c r="P449"/>
      <c r="Q449" t="s">
        <v>2119</v>
      </c>
      <c r="R449" t="s">
        <v>209</v>
      </c>
      <c r="S449" t="s">
        <v>214</v>
      </c>
      <c r="T449" t="s">
        <v>2120</v>
      </c>
      <c r="U449" t="s">
        <v>62</v>
      </c>
      <c r="V449">
        <v>5756234735</v>
      </c>
      <c r="W449"/>
      <c r="X449">
        <v>22</v>
      </c>
      <c r="Y449">
        <v>22</v>
      </c>
      <c r="Z449"/>
      <c r="AA449" t="s">
        <v>70</v>
      </c>
      <c r="AB449" t="s">
        <v>2121</v>
      </c>
      <c r="AC449" t="s">
        <v>98</v>
      </c>
      <c r="AD449" t="s">
        <v>119</v>
      </c>
      <c r="AE449">
        <v>1382</v>
      </c>
      <c r="AF449" t="s">
        <v>120</v>
      </c>
      <c r="AG449">
        <v>1311</v>
      </c>
      <c r="AH449" t="s">
        <v>100</v>
      </c>
      <c r="AI449">
        <v>13820000</v>
      </c>
      <c r="AJ449" t="s">
        <v>119</v>
      </c>
      <c r="AK449">
        <v>13110101</v>
      </c>
      <c r="AL449" t="s">
        <v>102</v>
      </c>
      <c r="AM449">
        <v>213112</v>
      </c>
      <c r="AN449" t="s">
        <v>74</v>
      </c>
      <c r="AO449">
        <v>211120</v>
      </c>
      <c r="AP449" t="s">
        <v>104</v>
      </c>
      <c r="AQ449" t="s">
        <v>75</v>
      </c>
      <c r="AR449"/>
      <c r="AS449"/>
      <c r="AT449" t="s">
        <v>76</v>
      </c>
      <c r="AU449"/>
      <c r="AV449"/>
      <c r="AW449"/>
      <c r="AX449"/>
      <c r="AY449"/>
      <c r="AZ449"/>
      <c r="BA449"/>
      <c r="BB449"/>
      <c r="BC449"/>
      <c r="BD449"/>
      <c r="BE449"/>
      <c r="BF449">
        <v>0</v>
      </c>
      <c r="BG449">
        <v>0</v>
      </c>
      <c r="BH449" s="4"/>
      <c r="BI449" s="4"/>
      <c r="BJ449" s="4"/>
      <c r="BK449" s="4"/>
      <c r="BL449" s="4"/>
      <c r="BM449" s="4"/>
      <c r="BN449" s="4"/>
      <c r="BO449" s="4"/>
      <c r="BP449" s="4"/>
      <c r="BQ449" s="4"/>
      <c r="BR449" s="4"/>
      <c r="BS449" s="4"/>
      <c r="BT449" s="4"/>
      <c r="BU449" s="4"/>
      <c r="BV449" s="4"/>
      <c r="BW449" s="4"/>
      <c r="BX449" s="4"/>
      <c r="BY449" s="4"/>
      <c r="BZ449" s="4"/>
      <c r="CA449" s="4"/>
      <c r="CB449" s="4"/>
      <c r="CC449" s="4"/>
      <c r="CD449" s="4"/>
      <c r="CE449" s="4"/>
      <c r="CF449" s="4"/>
      <c r="CG449" s="4"/>
      <c r="CH449" s="4"/>
      <c r="CI449" s="4"/>
      <c r="CJ449" s="4"/>
      <c r="CK449" s="19">
        <f>IF(BQ449&gt;0,BQ449,W449)</f>
        <v>0</v>
      </c>
      <c r="CL449" s="20">
        <f>IF(BS449&gt;0,BS449,Y449)</f>
        <v>22</v>
      </c>
      <c r="CM449" s="78">
        <f>IF(CG449&gt;0,CG449,AM449)</f>
        <v>213112</v>
      </c>
      <c r="CN449" s="80">
        <f>IF($BH449="",1,COUNTIF($BH$3:$BH449,$BH449))</f>
        <v>1</v>
      </c>
      <c r="CO449"/>
      <c r="CP449" t="str">
        <f>IF($K449="Standard Match","Match",IF($K449="Name Only Match",IF($CO449="Yes","Match","Name Only Match"),"No Match"))</f>
        <v>Match</v>
      </c>
      <c r="CQ449" s="35" t="str">
        <f>IF(AND(CP449="Match",CK449&gt;0,CL449&gt;0),"Y","N")</f>
        <v>N</v>
      </c>
      <c r="CR449"/>
      <c r="CS449" t="str">
        <f>IF($CQ449="Y",VLOOKUP($CM449,'SBA Size Standards'!$B$3:$G$57,MATCH('SBA Size Standards'!$G$3,'SBA Size Standards'!$B$3:$G$3,0),FALSE),"")</f>
        <v/>
      </c>
      <c r="CT449" s="60" t="str">
        <f>IF(CQ449="Y",IF($CS449="Employment","N/A",VLOOKUP($CM449,'SBA Size Standards'!$B$3:$G$57,MATCH('SBA Size Standards'!$E$3,'SBA Size Standards'!$B$3:$G$3,0),FALSE)),"")</f>
        <v/>
      </c>
      <c r="CU449" s="86" t="str">
        <f>IF($CQ449="Y",IF($CS449="Revenue","N/A",VLOOKUP($CM449,'SBA Size Standards'!$B$3:$G$57,MATCH('SBA Size Standards'!$F$3,'SBA Size Standards'!$B$3:$G$3,0),FALSE)),"")</f>
        <v/>
      </c>
      <c r="CV449" t="str">
        <f>IF($CQ449="Y",IF(OR(AND($CS449="Employment",$CL449&lt;$CU449),AND($CS449="Revenue",$CK449&lt;$CT449)),"YES","NO"),"")</f>
        <v/>
      </c>
      <c r="CW449" s="90" t="str">
        <f>IF($CQ449="Y",INDEX('SBA Size Standards'!$N$3:$N$12,MATCH($CK449,'SBA Size Standards'!$O$3:$O$12,1)),"")</f>
        <v/>
      </c>
      <c r="CX449" s="122" t="s">
        <v>4676</v>
      </c>
      <c r="CY449" s="122">
        <f>INDEX('NM O&amp;G Production'!$P$3:$P$537,MATCH(CX449,'NM O&amp;G Production'!$Q$3:$Q$537,0))</f>
        <v>300</v>
      </c>
      <c r="CZ449" s="122" t="str">
        <f>INDEX('NM O&amp;G Production'!$O$3:$O$537,MATCH(CY449,'NM O&amp;G Production'!$P$3:$P$537,0))</f>
        <v>No</v>
      </c>
      <c r="DA449" s="127">
        <f>INDEX('NM O&amp;G Production'!$K$3:$O$537,MATCH($CY449,'NM O&amp;G Production'!$P$3:$P$537,0),MATCH(DA$2,'NM O&amp;G Production'!$K$2:$O$2,0))</f>
        <v>0</v>
      </c>
      <c r="DB449" s="127">
        <f>INDEX('NM O&amp;G Production'!$K$3:$O$537,MATCH($CY449,'NM O&amp;G Production'!$P$3:$P$537,0),MATCH(DB$2,'NM O&amp;G Production'!$K$2:$O$2,0))</f>
        <v>0</v>
      </c>
      <c r="DC449" s="127"/>
      <c r="DD449" s="127">
        <f>INDEX('NM O&amp;G Production'!$K$3:$O$537,MATCH($CY449,'NM O&amp;G Production'!$P$3:$P$537,0),MATCH(DD$2,'NM O&amp;G Production'!$K$2:$O$2,0))</f>
        <v>0</v>
      </c>
      <c r="DE449" s="127">
        <f>INDEX('NM O&amp;G Production'!$K$3:$O$537,MATCH($CY449,'NM O&amp;G Production'!$P$3:$P$537,0),MATCH(DE$2,'NM O&amp;G Production'!$K$2:$O$2,0))</f>
        <v>0</v>
      </c>
      <c r="DF449" s="258" t="e">
        <f>CK449/(DB449+DA449)</f>
        <v>#DIV/0!</v>
      </c>
      <c r="DG449" s="57">
        <f>DD449*(12/18)*1.06*'Oil and Gas Prices'!$C$18</f>
        <v>0</v>
      </c>
      <c r="DH449" s="284">
        <f>DE449*(12/18)*'Oil and Gas Prices'!$C$4</f>
        <v>0</v>
      </c>
      <c r="DI449" s="284"/>
      <c r="DJ449" s="57" t="e">
        <f>(DG449+DH449)/(DA449+DB449)</f>
        <v>#DIV/0!</v>
      </c>
      <c r="DK449" s="18" t="e">
        <f>CK449/DI449</f>
        <v>#DIV/0!</v>
      </c>
    </row>
    <row r="450" spans="1:115" x14ac:dyDescent="0.25">
      <c r="A450" t="s">
        <v>1011</v>
      </c>
      <c r="B450" t="s">
        <v>1012</v>
      </c>
      <c r="D450" t="s">
        <v>153</v>
      </c>
      <c r="E450" t="s">
        <v>80</v>
      </c>
      <c r="F450">
        <v>79705</v>
      </c>
      <c r="G450" t="s">
        <v>62</v>
      </c>
      <c r="I450">
        <v>134</v>
      </c>
      <c r="J450" t="s">
        <v>404</v>
      </c>
      <c r="K450" t="s">
        <v>4133</v>
      </c>
      <c r="L450" t="s">
        <v>113</v>
      </c>
      <c r="M450">
        <v>8</v>
      </c>
      <c r="N450" t="s">
        <v>1013</v>
      </c>
      <c r="O450" t="s">
        <v>1014</v>
      </c>
      <c r="Q450" t="s">
        <v>1015</v>
      </c>
      <c r="R450" t="s">
        <v>153</v>
      </c>
      <c r="S450" t="s">
        <v>94</v>
      </c>
      <c r="T450" t="s">
        <v>1016</v>
      </c>
      <c r="U450" t="s">
        <v>62</v>
      </c>
      <c r="V450">
        <v>4326850848</v>
      </c>
      <c r="X450">
        <v>2</v>
      </c>
      <c r="Y450">
        <v>2</v>
      </c>
      <c r="AA450" t="s">
        <v>70</v>
      </c>
      <c r="AB450" t="s">
        <v>1017</v>
      </c>
      <c r="AC450" t="s">
        <v>98</v>
      </c>
      <c r="AD450" t="s">
        <v>494</v>
      </c>
      <c r="AE450">
        <v>8741</v>
      </c>
      <c r="AF450" t="s">
        <v>495</v>
      </c>
      <c r="AI450">
        <v>87410100</v>
      </c>
      <c r="AJ450" t="s">
        <v>1018</v>
      </c>
      <c r="AM450">
        <v>561110</v>
      </c>
      <c r="AN450" t="s">
        <v>497</v>
      </c>
      <c r="AQ450" t="s">
        <v>75</v>
      </c>
      <c r="AT450" t="s">
        <v>76</v>
      </c>
      <c r="BF450">
        <v>0</v>
      </c>
      <c r="BG450">
        <v>0</v>
      </c>
      <c r="CK450" s="19">
        <f>IF(BQ450&gt;0,BQ450,W450)</f>
        <v>0</v>
      </c>
      <c r="CL450" s="20">
        <f>IF(BS450&gt;0,BS450,Y450)</f>
        <v>2</v>
      </c>
      <c r="CM450" s="78">
        <f>IF(CG450&gt;0,CG450,AM450)</f>
        <v>561110</v>
      </c>
      <c r="CN450" s="80">
        <f>IF($BH450="",1,COUNTIF($BH$3:$BH450,$BH450))</f>
        <v>1</v>
      </c>
      <c r="CP450" t="str">
        <f>IF($K450="Standard Match","Match",IF($K450="Name Only Match",IF($CO450="Yes","Match","Name Only Match"),"No Match"))</f>
        <v>Match</v>
      </c>
      <c r="CQ450" s="35" t="str">
        <f>IF(AND(CP450="Match",CK450&gt;0,CL450&gt;0),"Y","N")</f>
        <v>N</v>
      </c>
      <c r="CS450" t="str">
        <f>IF($CQ450="Y",VLOOKUP($CM450,'SBA Size Standards'!$B$3:$G$57,MATCH('SBA Size Standards'!$G$3,'SBA Size Standards'!$B$3:$G$3,0),FALSE),"")</f>
        <v/>
      </c>
      <c r="CT450" s="60" t="str">
        <f>IF(CQ450="Y",IF($CS450="Employment","N/A",VLOOKUP($CM450,'SBA Size Standards'!$B$3:$G$57,MATCH('SBA Size Standards'!$E$3,'SBA Size Standards'!$B$3:$G$3,0),FALSE)),"")</f>
        <v/>
      </c>
      <c r="CU450" s="86" t="str">
        <f>IF($CQ450="Y",IF($CS450="Revenue","N/A",VLOOKUP($CM450,'SBA Size Standards'!$B$3:$G$57,MATCH('SBA Size Standards'!$F$3,'SBA Size Standards'!$B$3:$G$3,0),FALSE)),"")</f>
        <v/>
      </c>
      <c r="CV450" t="str">
        <f>IF($CQ450="Y",IF(OR(AND($CS450="Employment",$CL450&lt;$CU450),AND($CS450="Revenue",$CK450&lt;$CT450)),"YES","NO"),"")</f>
        <v/>
      </c>
      <c r="CW450" s="90" t="str">
        <f>IF($CQ450="Y",INDEX('SBA Size Standards'!$N$3:$N$12,MATCH($CK450,'SBA Size Standards'!$O$3:$O$12,1)),"")</f>
        <v/>
      </c>
      <c r="CX450" s="122" t="s">
        <v>5063</v>
      </c>
      <c r="CY450" s="122">
        <f>INDEX('NM O&amp;G Production'!$P$3:$P$537,MATCH(CX450,'NM O&amp;G Production'!$Q$3:$Q$537,0))</f>
        <v>134</v>
      </c>
      <c r="CZ450" s="122" t="str">
        <f>INDEX('NM O&amp;G Production'!$O$3:$O$537,MATCH(CY450,'NM O&amp;G Production'!$P$3:$P$537,0))</f>
        <v>No</v>
      </c>
      <c r="DA450" s="127">
        <f>INDEX('NM O&amp;G Production'!$K$3:$O$537,MATCH($CY450,'NM O&amp;G Production'!$P$3:$P$537,0),MATCH(DA$2,'NM O&amp;G Production'!$K$2:$O$2,0))</f>
        <v>0</v>
      </c>
      <c r="DB450" s="127">
        <f>INDEX('NM O&amp;G Production'!$K$3:$O$537,MATCH($CY450,'NM O&amp;G Production'!$P$3:$P$537,0),MATCH(DB$2,'NM O&amp;G Production'!$K$2:$O$2,0))</f>
        <v>0</v>
      </c>
      <c r="DC450" s="127"/>
      <c r="DD450" s="127">
        <f>INDEX('NM O&amp;G Production'!$K$3:$O$537,MATCH($CY450,'NM O&amp;G Production'!$P$3:$P$537,0),MATCH(DD$2,'NM O&amp;G Production'!$K$2:$O$2,0))</f>
        <v>0</v>
      </c>
      <c r="DE450" s="127">
        <f>INDEX('NM O&amp;G Production'!$K$3:$O$537,MATCH($CY450,'NM O&amp;G Production'!$P$3:$P$537,0),MATCH(DE$2,'NM O&amp;G Production'!$K$2:$O$2,0))</f>
        <v>0</v>
      </c>
      <c r="DF450" s="258" t="e">
        <f>CK450/(DB450+DA450)</f>
        <v>#DIV/0!</v>
      </c>
      <c r="DG450" s="57">
        <f>DD450*(12/18)*1.06*'Oil and Gas Prices'!$C$18</f>
        <v>0</v>
      </c>
      <c r="DH450" s="284">
        <f>DE450*(12/18)*'Oil and Gas Prices'!$C$4</f>
        <v>0</v>
      </c>
      <c r="DI450" s="284"/>
      <c r="DJ450" s="57" t="e">
        <f>(DG450+DH450)/(DA450+DB450)</f>
        <v>#DIV/0!</v>
      </c>
      <c r="DK450" s="18" t="e">
        <f>CK450/DI450</f>
        <v>#DIV/0!</v>
      </c>
    </row>
    <row r="451" spans="1:115" s="21" customFormat="1" x14ac:dyDescent="0.25">
      <c r="A451" t="s">
        <v>3469</v>
      </c>
      <c r="B451" t="s">
        <v>3470</v>
      </c>
      <c r="C451"/>
      <c r="D451" t="s">
        <v>3471</v>
      </c>
      <c r="E451" t="s">
        <v>80</v>
      </c>
      <c r="F451">
        <v>78401</v>
      </c>
      <c r="G451" t="s">
        <v>62</v>
      </c>
      <c r="H451"/>
      <c r="I451">
        <v>511</v>
      </c>
      <c r="J451" t="s">
        <v>404</v>
      </c>
      <c r="K451" t="s">
        <v>4133</v>
      </c>
      <c r="L451" t="s">
        <v>113</v>
      </c>
      <c r="M451">
        <v>8</v>
      </c>
      <c r="N451" t="s">
        <v>3472</v>
      </c>
      <c r="O451" t="s">
        <v>3473</v>
      </c>
      <c r="P451"/>
      <c r="Q451" t="s">
        <v>3474</v>
      </c>
      <c r="R451" t="s">
        <v>3471</v>
      </c>
      <c r="S451" t="s">
        <v>94</v>
      </c>
      <c r="T451" t="s">
        <v>3475</v>
      </c>
      <c r="U451" t="s">
        <v>62</v>
      </c>
      <c r="V451">
        <v>3618867420</v>
      </c>
      <c r="W451"/>
      <c r="X451">
        <v>2</v>
      </c>
      <c r="Y451">
        <v>2</v>
      </c>
      <c r="Z451"/>
      <c r="AA451" t="s">
        <v>70</v>
      </c>
      <c r="AB451" t="s">
        <v>3476</v>
      </c>
      <c r="AC451" t="s">
        <v>242</v>
      </c>
      <c r="AD451" t="s">
        <v>825</v>
      </c>
      <c r="AE451">
        <v>5172</v>
      </c>
      <c r="AF451" t="s">
        <v>826</v>
      </c>
      <c r="AG451"/>
      <c r="AH451"/>
      <c r="AI451">
        <v>51720000</v>
      </c>
      <c r="AJ451" t="s">
        <v>825</v>
      </c>
      <c r="AK451"/>
      <c r="AL451"/>
      <c r="AM451">
        <v>424720</v>
      </c>
      <c r="AN451" t="s">
        <v>827</v>
      </c>
      <c r="AO451"/>
      <c r="AP451"/>
      <c r="AQ451" t="s">
        <v>75</v>
      </c>
      <c r="AR451"/>
      <c r="AS451"/>
      <c r="AT451" t="s">
        <v>76</v>
      </c>
      <c r="AU451"/>
      <c r="AV451"/>
      <c r="AW451"/>
      <c r="AX451"/>
      <c r="AY451"/>
      <c r="AZ451"/>
      <c r="BA451"/>
      <c r="BB451"/>
      <c r="BC451"/>
      <c r="BD451"/>
      <c r="BE451"/>
      <c r="BF451">
        <v>0</v>
      </c>
      <c r="BG451">
        <v>0</v>
      </c>
      <c r="BH451" s="4"/>
      <c r="BI451" s="4"/>
      <c r="BJ451" s="4"/>
      <c r="BK451" s="4"/>
      <c r="BL451" s="4"/>
      <c r="BM451" s="4"/>
      <c r="BN451" s="4"/>
      <c r="BO451" s="4"/>
      <c r="BP451" s="4"/>
      <c r="BQ451" s="4"/>
      <c r="BR451" s="4"/>
      <c r="BS451" s="4"/>
      <c r="BT451" s="4"/>
      <c r="BU451" s="4"/>
      <c r="BV451" s="4"/>
      <c r="BW451" s="4"/>
      <c r="BX451" s="4"/>
      <c r="BY451" s="4"/>
      <c r="BZ451" s="4"/>
      <c r="CA451" s="4"/>
      <c r="CB451" s="4"/>
      <c r="CC451" s="4"/>
      <c r="CD451" s="4"/>
      <c r="CE451" s="4"/>
      <c r="CF451" s="4"/>
      <c r="CG451" s="4"/>
      <c r="CH451" s="4"/>
      <c r="CI451" s="4"/>
      <c r="CJ451" s="4"/>
      <c r="CK451" s="19">
        <f>IF(BQ451&gt;0,BQ451,W451)</f>
        <v>0</v>
      </c>
      <c r="CL451" s="20">
        <f>IF(BS451&gt;0,BS451,Y451)</f>
        <v>2</v>
      </c>
      <c r="CM451" s="78">
        <f>IF(CG451&gt;0,CG451,AM451)</f>
        <v>424720</v>
      </c>
      <c r="CN451" s="80">
        <f>IF($BH451="",1,COUNTIF($BH$3:$BH451,$BH451))</f>
        <v>1</v>
      </c>
      <c r="CO451"/>
      <c r="CP451" t="str">
        <f>IF($K451="Standard Match","Match",IF($K451="Name Only Match",IF($CO451="Yes","Match","Name Only Match"),"No Match"))</f>
        <v>Match</v>
      </c>
      <c r="CQ451" s="35" t="str">
        <f>IF(AND(CP451="Match",CK451&gt;0,CL451&gt;0),"Y","N")</f>
        <v>N</v>
      </c>
      <c r="CR451"/>
      <c r="CS451" t="str">
        <f>IF($CQ451="Y",VLOOKUP($CM451,'SBA Size Standards'!$B$3:$G$57,MATCH('SBA Size Standards'!$G$3,'SBA Size Standards'!$B$3:$G$3,0),FALSE),"")</f>
        <v/>
      </c>
      <c r="CT451" s="60" t="str">
        <f>IF(CQ451="Y",IF($CS451="Employment","N/A",VLOOKUP($CM451,'SBA Size Standards'!$B$3:$G$57,MATCH('SBA Size Standards'!$E$3,'SBA Size Standards'!$B$3:$G$3,0),FALSE)),"")</f>
        <v/>
      </c>
      <c r="CU451" s="86" t="str">
        <f>IF($CQ451="Y",IF($CS451="Revenue","N/A",VLOOKUP($CM451,'SBA Size Standards'!$B$3:$G$57,MATCH('SBA Size Standards'!$F$3,'SBA Size Standards'!$B$3:$G$3,0),FALSE)),"")</f>
        <v/>
      </c>
      <c r="CV451" t="str">
        <f>IF($CQ451="Y",IF(OR(AND($CS451="Employment",$CL451&lt;$CU451),AND($CS451="Revenue",$CK451&lt;$CT451)),"YES","NO"),"")</f>
        <v/>
      </c>
      <c r="CW451" s="90" t="str">
        <f>IF($CQ451="Y",INDEX('SBA Size Standards'!$N$3:$N$12,MATCH($CK451,'SBA Size Standards'!$O$3:$O$12,1)),"")</f>
        <v/>
      </c>
      <c r="CX451" s="256" t="s">
        <v>5065</v>
      </c>
      <c r="CY451" s="122">
        <f>INDEX('NM O&amp;G Production'!$P$3:$P$537,MATCH(CX451,'NM O&amp;G Production'!$Q$3:$Q$537,0))</f>
        <v>511</v>
      </c>
      <c r="CZ451" s="122" t="str">
        <f>INDEX('NM O&amp;G Production'!$O$3:$O$537,MATCH(CY451,'NM O&amp;G Production'!$P$3:$P$537,0))</f>
        <v>No</v>
      </c>
      <c r="DA451" s="127">
        <f>INDEX('NM O&amp;G Production'!$K$3:$O$537,MATCH($CY451,'NM O&amp;G Production'!$P$3:$P$537,0),MATCH(DA$2,'NM O&amp;G Production'!$K$2:$O$2,0))</f>
        <v>0</v>
      </c>
      <c r="DB451" s="127">
        <f>INDEX('NM O&amp;G Production'!$K$3:$O$537,MATCH($CY451,'NM O&amp;G Production'!$P$3:$P$537,0),MATCH(DB$2,'NM O&amp;G Production'!$K$2:$O$2,0))</f>
        <v>0</v>
      </c>
      <c r="DC451" s="127"/>
      <c r="DD451" s="127">
        <f>INDEX('NM O&amp;G Production'!$K$3:$O$537,MATCH($CY451,'NM O&amp;G Production'!$P$3:$P$537,0),MATCH(DD$2,'NM O&amp;G Production'!$K$2:$O$2,0))</f>
        <v>0</v>
      </c>
      <c r="DE451" s="127">
        <f>INDEX('NM O&amp;G Production'!$K$3:$O$537,MATCH($CY451,'NM O&amp;G Production'!$P$3:$P$537,0),MATCH(DE$2,'NM O&amp;G Production'!$K$2:$O$2,0))</f>
        <v>0</v>
      </c>
      <c r="DF451" s="258" t="e">
        <f>CK451/(DB451+DA451)</f>
        <v>#DIV/0!</v>
      </c>
      <c r="DG451" s="57">
        <f>DD451*(12/18)*1.06*'Oil and Gas Prices'!$C$18</f>
        <v>0</v>
      </c>
      <c r="DH451" s="284">
        <f>DE451*(12/18)*'Oil and Gas Prices'!$C$4</f>
        <v>0</v>
      </c>
      <c r="DI451" s="284"/>
      <c r="DJ451" s="57" t="e">
        <f>(DG451+DH451)/(DA451+DB451)</f>
        <v>#DIV/0!</v>
      </c>
      <c r="DK451" s="18" t="e">
        <f>CK451/DI451</f>
        <v>#DIV/0!</v>
      </c>
    </row>
    <row r="452" spans="1:115" x14ac:dyDescent="0.25">
      <c r="A452" t="s">
        <v>135</v>
      </c>
      <c r="B452" t="s">
        <v>136</v>
      </c>
      <c r="D452" t="s">
        <v>137</v>
      </c>
      <c r="E452" t="s">
        <v>80</v>
      </c>
      <c r="F452">
        <v>79105</v>
      </c>
      <c r="G452" t="s">
        <v>62</v>
      </c>
      <c r="I452">
        <v>10</v>
      </c>
      <c r="J452" t="s">
        <v>404</v>
      </c>
      <c r="K452" t="s">
        <v>4134</v>
      </c>
      <c r="L452" t="s">
        <v>3627</v>
      </c>
      <c r="M452">
        <v>8</v>
      </c>
      <c r="N452" t="s">
        <v>3729</v>
      </c>
      <c r="O452" t="s">
        <v>3730</v>
      </c>
      <c r="P452" t="s">
        <v>3731</v>
      </c>
      <c r="Q452" t="s">
        <v>3732</v>
      </c>
      <c r="R452" t="s">
        <v>3733</v>
      </c>
      <c r="S452" t="s">
        <v>94</v>
      </c>
      <c r="T452">
        <v>79097</v>
      </c>
      <c r="U452" t="s">
        <v>62</v>
      </c>
      <c r="V452">
        <v>8068482432</v>
      </c>
      <c r="X452">
        <v>55</v>
      </c>
      <c r="Y452">
        <v>0</v>
      </c>
      <c r="AA452" t="s">
        <v>70</v>
      </c>
      <c r="AB452" s="21" t="s">
        <v>3734</v>
      </c>
      <c r="AC452" s="21" t="s">
        <v>98</v>
      </c>
      <c r="AD452" s="21" t="s">
        <v>1760</v>
      </c>
      <c r="AE452" s="21">
        <v>3563</v>
      </c>
      <c r="AF452" s="21" t="s">
        <v>1761</v>
      </c>
      <c r="AG452" s="21"/>
      <c r="AH452" s="21"/>
      <c r="AI452" s="21">
        <v>35630000</v>
      </c>
      <c r="AJ452" s="21" t="s">
        <v>3735</v>
      </c>
      <c r="AK452" s="21"/>
      <c r="AL452" s="21"/>
      <c r="AM452" s="21">
        <v>333912</v>
      </c>
      <c r="AN452" s="21" t="s">
        <v>1765</v>
      </c>
      <c r="AQ452" t="s">
        <v>75</v>
      </c>
      <c r="AT452" t="s">
        <v>76</v>
      </c>
      <c r="BF452">
        <v>0</v>
      </c>
      <c r="BG452">
        <v>0</v>
      </c>
      <c r="CK452" s="19">
        <f>IF(BQ452&gt;0,BQ452,W452)</f>
        <v>0</v>
      </c>
      <c r="CL452" s="20">
        <f>IF(BS452&gt;0,BS452,Y452)</f>
        <v>0</v>
      </c>
      <c r="CM452" s="78">
        <f>IF(CG452&gt;0,CG452,AM452)</f>
        <v>333912</v>
      </c>
      <c r="CN452" s="80">
        <f>IF($BH452="",1,COUNTIF($BH$3:$BH452,$BH452))</f>
        <v>1</v>
      </c>
      <c r="CO452" s="33" t="s">
        <v>4386</v>
      </c>
      <c r="CP452" t="str">
        <f>IF($K452="Standard Match","Match",IF($K452="Name Only Match",IF($CO452="Yes","Match","Name Only Match"),"No Match"))</f>
        <v>Match</v>
      </c>
      <c r="CQ452" s="35" t="str">
        <f>IF(AND(CP452="Match",CK452&gt;0,CL452&gt;0),"Y","N")</f>
        <v>N</v>
      </c>
      <c r="CS452" t="str">
        <f>IF($CQ452="Y",VLOOKUP($CM452,'SBA Size Standards'!$B$3:$G$57,MATCH('SBA Size Standards'!$G$3,'SBA Size Standards'!$B$3:$G$3,0),FALSE),"")</f>
        <v/>
      </c>
      <c r="CT452" s="60" t="str">
        <f>IF(CQ452="Y",IF($CS452="Employment","N/A",VLOOKUP($CM452,'SBA Size Standards'!$B$3:$G$57,MATCH('SBA Size Standards'!$E$3,'SBA Size Standards'!$B$3:$G$3,0),FALSE)),"")</f>
        <v/>
      </c>
      <c r="CU452" s="86" t="str">
        <f>IF($CQ452="Y",IF($CS452="Revenue","N/A",VLOOKUP($CM452,'SBA Size Standards'!$B$3:$G$57,MATCH('SBA Size Standards'!$F$3,'SBA Size Standards'!$B$3:$G$3,0),FALSE)),"")</f>
        <v/>
      </c>
      <c r="CV452" t="str">
        <f>IF($CQ452="Y",IF(OR(AND($CS452="Employment",$CL452&lt;$CU452),AND($CS452="Revenue",$CK452&lt;$CT452)),"YES","NO"),"")</f>
        <v/>
      </c>
      <c r="CW452" s="90" t="str">
        <f>IF($CQ452="Y",INDEX('SBA Size Standards'!$N$3:$N$12,MATCH($CK452,'SBA Size Standards'!$O$3:$O$12,1)),"")</f>
        <v/>
      </c>
      <c r="CX452" s="122" t="s">
        <v>4929</v>
      </c>
      <c r="CY452" s="122">
        <f>INDEX('NM O&amp;G Production'!$P$3:$P$537,MATCH(CX452,'NM O&amp;G Production'!$Q$3:$Q$537,0))</f>
        <v>10</v>
      </c>
      <c r="CZ452" s="122" t="str">
        <f>INDEX('NM O&amp;G Production'!$O$3:$O$537,MATCH(CY452,'NM O&amp;G Production'!$P$3:$P$537,0))</f>
        <v>No</v>
      </c>
      <c r="DA452" s="127">
        <f>INDEX('NM O&amp;G Production'!$K$3:$O$537,MATCH($CY452,'NM O&amp;G Production'!$P$3:$P$537,0),MATCH(DA$2,'NM O&amp;G Production'!$K$2:$O$2,0))</f>
        <v>0</v>
      </c>
      <c r="DB452" s="127">
        <f>INDEX('NM O&amp;G Production'!$K$3:$O$537,MATCH($CY452,'NM O&amp;G Production'!$P$3:$P$537,0),MATCH(DB$2,'NM O&amp;G Production'!$K$2:$O$2,0))</f>
        <v>0</v>
      </c>
      <c r="DC452" s="127"/>
      <c r="DD452" s="127">
        <f>INDEX('NM O&amp;G Production'!$K$3:$O$537,MATCH($CY452,'NM O&amp;G Production'!$P$3:$P$537,0),MATCH(DD$2,'NM O&amp;G Production'!$K$2:$O$2,0))</f>
        <v>0</v>
      </c>
      <c r="DE452" s="127">
        <f>INDEX('NM O&amp;G Production'!$K$3:$O$537,MATCH($CY452,'NM O&amp;G Production'!$P$3:$P$537,0),MATCH(DE$2,'NM O&amp;G Production'!$K$2:$O$2,0))</f>
        <v>0</v>
      </c>
      <c r="DF452" s="258" t="e">
        <f>CK452/(DB452+DA452)</f>
        <v>#DIV/0!</v>
      </c>
      <c r="DG452" s="57">
        <f>DD452*(12/18)*1.06*'Oil and Gas Prices'!$C$18</f>
        <v>0</v>
      </c>
      <c r="DH452" s="284">
        <f>DE452*(12/18)*'Oil and Gas Prices'!$C$4</f>
        <v>0</v>
      </c>
      <c r="DI452" s="284"/>
      <c r="DJ452" s="57" t="e">
        <f>(DG452+DH452)/(DA452+DB452)</f>
        <v>#DIV/0!</v>
      </c>
      <c r="DK452" s="18" t="e">
        <f>CK452/DI452</f>
        <v>#DIV/0!</v>
      </c>
    </row>
    <row r="453" spans="1:115" s="21" customFormat="1" x14ac:dyDescent="0.25">
      <c r="A453" s="21" t="s">
        <v>360</v>
      </c>
      <c r="B453" s="21" t="s">
        <v>361</v>
      </c>
      <c r="D453" s="21" t="s">
        <v>362</v>
      </c>
      <c r="E453" s="21" t="s">
        <v>61</v>
      </c>
      <c r="F453">
        <v>80112</v>
      </c>
      <c r="G453" t="s">
        <v>62</v>
      </c>
      <c r="H453"/>
      <c r="I453">
        <v>43</v>
      </c>
      <c r="J453" t="s">
        <v>404</v>
      </c>
      <c r="K453" t="s">
        <v>4134</v>
      </c>
      <c r="L453" t="s">
        <v>3627</v>
      </c>
      <c r="M453">
        <v>8</v>
      </c>
      <c r="N453" t="s">
        <v>3778</v>
      </c>
      <c r="O453" s="21" t="s">
        <v>3779</v>
      </c>
      <c r="Q453" s="21" t="s">
        <v>3780</v>
      </c>
      <c r="R453" s="21" t="s">
        <v>3781</v>
      </c>
      <c r="S453" s="21" t="s">
        <v>3782</v>
      </c>
      <c r="T453" t="s">
        <v>3783</v>
      </c>
      <c r="U453" t="s">
        <v>62</v>
      </c>
      <c r="V453"/>
      <c r="X453" s="21">
        <v>0</v>
      </c>
      <c r="Y453" s="21">
        <v>0</v>
      </c>
      <c r="Z453"/>
      <c r="AA453" s="21" t="s">
        <v>70</v>
      </c>
      <c r="AB453"/>
      <c r="AC453"/>
      <c r="AD453" s="21" t="s">
        <v>3784</v>
      </c>
      <c r="AE453">
        <v>2869</v>
      </c>
      <c r="AF453" t="s">
        <v>3785</v>
      </c>
      <c r="AG453"/>
      <c r="AH453"/>
      <c r="AI453">
        <v>28690400</v>
      </c>
      <c r="AJ453" t="s">
        <v>3786</v>
      </c>
      <c r="AK453"/>
      <c r="AL453"/>
      <c r="AM453" s="21">
        <v>325110</v>
      </c>
      <c r="AN453" s="21" t="s">
        <v>3787</v>
      </c>
      <c r="AQ453" s="21" t="s">
        <v>75</v>
      </c>
      <c r="AR453"/>
      <c r="AS453"/>
      <c r="AT453" t="s">
        <v>76</v>
      </c>
      <c r="AU453"/>
      <c r="AV453"/>
      <c r="AW453"/>
      <c r="AX453"/>
      <c r="AY453"/>
      <c r="AZ453"/>
      <c r="BA453"/>
      <c r="BB453"/>
      <c r="BC453"/>
      <c r="BD453"/>
      <c r="BE453"/>
      <c r="BF453">
        <v>0</v>
      </c>
      <c r="BG453" s="24">
        <v>0</v>
      </c>
      <c r="BH453" s="24"/>
      <c r="BI453" s="24"/>
      <c r="BJ453" s="24"/>
      <c r="BK453" s="24"/>
      <c r="BL453" s="24"/>
      <c r="BM453" s="24"/>
      <c r="BN453" s="24"/>
      <c r="BO453" s="24"/>
      <c r="BP453" s="4"/>
      <c r="BQ453" s="24"/>
      <c r="BR453" s="24"/>
      <c r="BS453" s="24"/>
      <c r="BT453" s="4"/>
      <c r="BU453" s="24"/>
      <c r="BV453" s="4"/>
      <c r="BW453" s="4"/>
      <c r="BX453" s="24"/>
      <c r="BY453" s="4"/>
      <c r="BZ453" s="4"/>
      <c r="CA453" s="4"/>
      <c r="CB453" s="4"/>
      <c r="CC453" s="4"/>
      <c r="CD453" s="4"/>
      <c r="CE453" s="4"/>
      <c r="CF453" s="4"/>
      <c r="CG453" s="24"/>
      <c r="CH453" s="24"/>
      <c r="CI453" s="24"/>
      <c r="CJ453" s="24"/>
      <c r="CK453" s="19">
        <f>IF(BQ453&gt;0,BQ453,W453)</f>
        <v>0</v>
      </c>
      <c r="CL453" s="20">
        <f>IF(BS453&gt;0,BS453,Y453)</f>
        <v>0</v>
      </c>
      <c r="CM453" s="78">
        <f>IF(CG453&gt;0,CG453,AM453)</f>
        <v>325110</v>
      </c>
      <c r="CN453" s="80">
        <f>IF($BH453="",1,COUNTIF($BH$3:$BH453,$BH453))</f>
        <v>1</v>
      </c>
      <c r="CO453" s="33" t="s">
        <v>4386</v>
      </c>
      <c r="CP453" t="str">
        <f>IF($K453="Standard Match","Match",IF($K453="Name Only Match",IF($CO453="Yes","Match","Name Only Match"),"No Match"))</f>
        <v>Match</v>
      </c>
      <c r="CQ453" s="35" t="str">
        <f>IF(AND(CP453="Match",CK453&gt;0,CL453&gt;0),"Y","N")</f>
        <v>N</v>
      </c>
      <c r="CS453" t="str">
        <f>IF($CQ453="Y",VLOOKUP($CM453,'SBA Size Standards'!$B$3:$G$57,MATCH('SBA Size Standards'!$G$3,'SBA Size Standards'!$B$3:$G$3,0),FALSE),"")</f>
        <v/>
      </c>
      <c r="CT453" s="60" t="str">
        <f>IF(CQ453="Y",IF($CS453="Employment","N/A",VLOOKUP($CM453,'SBA Size Standards'!$B$3:$G$57,MATCH('SBA Size Standards'!$E$3,'SBA Size Standards'!$B$3:$G$3,0),FALSE)),"")</f>
        <v/>
      </c>
      <c r="CU453" s="86" t="str">
        <f>IF($CQ453="Y",IF($CS453="Revenue","N/A",VLOOKUP($CM453,'SBA Size Standards'!$B$3:$G$57,MATCH('SBA Size Standards'!$F$3,'SBA Size Standards'!$B$3:$G$3,0),FALSE)),"")</f>
        <v/>
      </c>
      <c r="CV453" t="str">
        <f>IF($CQ453="Y",IF(OR(AND($CS453="Employment",$CL453&lt;$CU453),AND($CS453="Revenue",$CK453&lt;$CT453)),"YES","NO"),"")</f>
        <v/>
      </c>
      <c r="CW453" s="90" t="str">
        <f>IF($CQ453="Y",INDEX('SBA Size Standards'!$N$3:$N$12,MATCH($CK453,'SBA Size Standards'!$O$3:$O$12,1)),"")</f>
        <v/>
      </c>
      <c r="CX453" s="122" t="s">
        <v>4939</v>
      </c>
      <c r="CY453" s="122">
        <f>INDEX('NM O&amp;G Production'!$P$3:$P$537,MATCH(CX453,'NM O&amp;G Production'!$Q$3:$Q$537,0))</f>
        <v>43</v>
      </c>
      <c r="CZ453" s="122" t="str">
        <f>INDEX('NM O&amp;G Production'!$O$3:$O$537,MATCH(CY453,'NM O&amp;G Production'!$P$3:$P$537,0))</f>
        <v>No</v>
      </c>
      <c r="DA453" s="127">
        <f>INDEX('NM O&amp;G Production'!$K$3:$O$537,MATCH($CY453,'NM O&amp;G Production'!$P$3:$P$537,0),MATCH(DA$2,'NM O&amp;G Production'!$K$2:$O$2,0))</f>
        <v>0</v>
      </c>
      <c r="DB453" s="127">
        <f>INDEX('NM O&amp;G Production'!$K$3:$O$537,MATCH($CY453,'NM O&amp;G Production'!$P$3:$P$537,0),MATCH(DB$2,'NM O&amp;G Production'!$K$2:$O$2,0))</f>
        <v>0</v>
      </c>
      <c r="DC453" s="127"/>
      <c r="DD453" s="127">
        <f>INDEX('NM O&amp;G Production'!$K$3:$O$537,MATCH($CY453,'NM O&amp;G Production'!$P$3:$P$537,0),MATCH(DD$2,'NM O&amp;G Production'!$K$2:$O$2,0))</f>
        <v>0</v>
      </c>
      <c r="DE453" s="127">
        <f>INDEX('NM O&amp;G Production'!$K$3:$O$537,MATCH($CY453,'NM O&amp;G Production'!$P$3:$P$537,0),MATCH(DE$2,'NM O&amp;G Production'!$K$2:$O$2,0))</f>
        <v>0</v>
      </c>
      <c r="DF453" s="258" t="e">
        <f>CK453/(DB453+DA453)</f>
        <v>#DIV/0!</v>
      </c>
      <c r="DG453" s="57">
        <f>DD453*(12/18)*1.06*'Oil and Gas Prices'!$C$18</f>
        <v>0</v>
      </c>
      <c r="DH453" s="284">
        <f>DE453*(12/18)*'Oil and Gas Prices'!$C$4</f>
        <v>0</v>
      </c>
      <c r="DI453" s="284"/>
      <c r="DJ453" s="57" t="e">
        <f>(DG453+DH453)/(DA453+DB453)</f>
        <v>#DIV/0!</v>
      </c>
      <c r="DK453" s="18" t="e">
        <f>CK453/DI453</f>
        <v>#DIV/0!</v>
      </c>
    </row>
    <row r="454" spans="1:115" x14ac:dyDescent="0.25">
      <c r="A454" t="s">
        <v>1944</v>
      </c>
      <c r="B454" t="s">
        <v>1945</v>
      </c>
      <c r="D454" t="s">
        <v>83</v>
      </c>
      <c r="E454" t="s">
        <v>84</v>
      </c>
      <c r="F454">
        <v>88211</v>
      </c>
      <c r="G454" t="s">
        <v>62</v>
      </c>
      <c r="I454">
        <v>271</v>
      </c>
      <c r="K454" t="s">
        <v>4134</v>
      </c>
      <c r="L454" t="s">
        <v>3627</v>
      </c>
      <c r="M454">
        <v>8</v>
      </c>
      <c r="N454" t="s">
        <v>4123</v>
      </c>
      <c r="O454" t="s">
        <v>1944</v>
      </c>
      <c r="Q454" t="s">
        <v>4124</v>
      </c>
      <c r="R454" t="s">
        <v>378</v>
      </c>
      <c r="S454" t="s">
        <v>94</v>
      </c>
      <c r="T454" t="s">
        <v>1951</v>
      </c>
      <c r="V454">
        <v>5758106025</v>
      </c>
      <c r="Z454">
        <v>2021</v>
      </c>
      <c r="AA454" t="s">
        <v>70</v>
      </c>
      <c r="AB454" t="s">
        <v>1952</v>
      </c>
      <c r="AC454" t="s">
        <v>98</v>
      </c>
      <c r="AE454">
        <v>6719</v>
      </c>
      <c r="AF454" t="s">
        <v>1409</v>
      </c>
      <c r="AI454">
        <v>67190000</v>
      </c>
      <c r="AJ454" t="s">
        <v>1410</v>
      </c>
      <c r="AQ454" t="s">
        <v>75</v>
      </c>
      <c r="AT454" t="s">
        <v>76</v>
      </c>
      <c r="CK454" s="19">
        <f>IF(BQ454&gt;0,BQ454,W454)</f>
        <v>0</v>
      </c>
      <c r="CL454" s="20">
        <f>IF(BS454&gt;0,BS454,Y454)</f>
        <v>0</v>
      </c>
      <c r="CM454" s="78">
        <f>IF(CG454&gt;0,CG454,AM454)</f>
        <v>0</v>
      </c>
      <c r="CN454" s="80">
        <f>IF($BH454="",1,COUNTIF($BH$3:$BH454,$BH454))</f>
        <v>1</v>
      </c>
      <c r="CO454" s="33" t="s">
        <v>4386</v>
      </c>
      <c r="CP454" t="str">
        <f>IF($K454="Standard Match","Match",IF($K454="Name Only Match",IF($CO454="Yes","Match","Name Only Match"),"No Match"))</f>
        <v>Match</v>
      </c>
      <c r="CQ454" s="35" t="str">
        <f>IF(AND(CP454="Match",CK454&gt;0,CL454&gt;0),"Y","N")</f>
        <v>N</v>
      </c>
      <c r="CS454" t="str">
        <f>IF($CQ454="Y",VLOOKUP($CM454,'SBA Size Standards'!$B$3:$G$57,MATCH('SBA Size Standards'!$G$3,'SBA Size Standards'!$B$3:$G$3,0),FALSE),"")</f>
        <v/>
      </c>
      <c r="CT454" s="60" t="str">
        <f>IF(CQ454="Y",IF($CS454="Employment","N/A",VLOOKUP($CM454,'SBA Size Standards'!$B$3:$G$57,MATCH('SBA Size Standards'!$E$3,'SBA Size Standards'!$B$3:$G$3,0),FALSE)),"")</f>
        <v/>
      </c>
      <c r="CU454" s="86" t="str">
        <f>IF($CQ454="Y",IF($CS454="Revenue","N/A",VLOOKUP($CM454,'SBA Size Standards'!$B$3:$G$57,MATCH('SBA Size Standards'!$F$3,'SBA Size Standards'!$B$3:$G$3,0),FALSE)),"")</f>
        <v/>
      </c>
      <c r="CV454" t="str">
        <f>IF($CQ454="Y",IF(OR(AND($CS454="Employment",$CL454&lt;$CU454),AND($CS454="Revenue",$CK454&lt;$CT454)),"YES","NO"),"")</f>
        <v/>
      </c>
      <c r="CW454" s="90" t="str">
        <f>IF($CQ454="Y",INDEX('SBA Size Standards'!$N$3:$N$12,MATCH($CK454,'SBA Size Standards'!$O$3:$O$12,1)),"")</f>
        <v/>
      </c>
      <c r="CX454" s="122" t="s">
        <v>4973</v>
      </c>
      <c r="CY454" s="122">
        <f>INDEX('NM O&amp;G Production'!$P$3:$P$537,MATCH(CX454,'NM O&amp;G Production'!$Q$3:$Q$537,0))</f>
        <v>271</v>
      </c>
      <c r="CZ454" s="122" t="str">
        <f>INDEX('NM O&amp;G Production'!$O$3:$O$537,MATCH(CY454,'NM O&amp;G Production'!$P$3:$P$537,0))</f>
        <v>No</v>
      </c>
      <c r="DA454" s="127">
        <f>INDEX('NM O&amp;G Production'!$K$3:$O$537,MATCH($CY454,'NM O&amp;G Production'!$P$3:$P$537,0),MATCH(DA$2,'NM O&amp;G Production'!$K$2:$O$2,0))</f>
        <v>0</v>
      </c>
      <c r="DB454" s="127">
        <f>INDEX('NM O&amp;G Production'!$K$3:$O$537,MATCH($CY454,'NM O&amp;G Production'!$P$3:$P$537,0),MATCH(DB$2,'NM O&amp;G Production'!$K$2:$O$2,0))</f>
        <v>0</v>
      </c>
      <c r="DC454" s="127"/>
      <c r="DD454" s="127">
        <f>INDEX('NM O&amp;G Production'!$K$3:$O$537,MATCH($CY454,'NM O&amp;G Production'!$P$3:$P$537,0),MATCH(DD$2,'NM O&amp;G Production'!$K$2:$O$2,0))</f>
        <v>0</v>
      </c>
      <c r="DE454" s="127">
        <f>INDEX('NM O&amp;G Production'!$K$3:$O$537,MATCH($CY454,'NM O&amp;G Production'!$P$3:$P$537,0),MATCH(DE$2,'NM O&amp;G Production'!$K$2:$O$2,0))</f>
        <v>0</v>
      </c>
      <c r="DF454" s="258" t="e">
        <f>CK454/(DB454+DA454)</f>
        <v>#DIV/0!</v>
      </c>
      <c r="DG454" s="57">
        <f>DD454*(12/18)*1.06*'Oil and Gas Prices'!$C$18</f>
        <v>0</v>
      </c>
      <c r="DH454" s="284">
        <f>DE454*(12/18)*'Oil and Gas Prices'!$C$4</f>
        <v>0</v>
      </c>
      <c r="DI454" s="284"/>
      <c r="DJ454" s="57" t="e">
        <f>(DG454+DH454)/(DA454+DB454)</f>
        <v>#DIV/0!</v>
      </c>
      <c r="DK454" s="18" t="e">
        <f>CK454/DI454</f>
        <v>#DIV/0!</v>
      </c>
    </row>
    <row r="455" spans="1:115" s="21" customFormat="1" x14ac:dyDescent="0.25">
      <c r="A455" t="s">
        <v>1201</v>
      </c>
      <c r="B455" t="s">
        <v>1202</v>
      </c>
      <c r="C455"/>
      <c r="D455" t="s">
        <v>1203</v>
      </c>
      <c r="E455" t="s">
        <v>184</v>
      </c>
      <c r="F455">
        <v>73083</v>
      </c>
      <c r="G455" t="s">
        <v>62</v>
      </c>
      <c r="H455"/>
      <c r="I455">
        <v>157</v>
      </c>
      <c r="J455" t="s">
        <v>404</v>
      </c>
      <c r="K455" t="s">
        <v>4133</v>
      </c>
      <c r="L455" t="s">
        <v>149</v>
      </c>
      <c r="M455">
        <v>10</v>
      </c>
      <c r="N455" t="s">
        <v>1204</v>
      </c>
      <c r="O455" t="s">
        <v>1205</v>
      </c>
      <c r="P455"/>
      <c r="Q455" t="s">
        <v>1206</v>
      </c>
      <c r="R455" t="s">
        <v>1203</v>
      </c>
      <c r="S455" t="s">
        <v>188</v>
      </c>
      <c r="T455" t="s">
        <v>1207</v>
      </c>
      <c r="U455" t="s">
        <v>62</v>
      </c>
      <c r="V455">
        <v>4054780754</v>
      </c>
      <c r="W455"/>
      <c r="X455">
        <v>6</v>
      </c>
      <c r="Y455">
        <v>6</v>
      </c>
      <c r="Z455"/>
      <c r="AA455" t="s">
        <v>70</v>
      </c>
      <c r="AB455" t="s">
        <v>1208</v>
      </c>
      <c r="AC455" t="s">
        <v>98</v>
      </c>
      <c r="AD455" t="s">
        <v>119</v>
      </c>
      <c r="AE455">
        <v>1382</v>
      </c>
      <c r="AF455" t="s">
        <v>120</v>
      </c>
      <c r="AG455">
        <v>6726</v>
      </c>
      <c r="AH455" t="s">
        <v>810</v>
      </c>
      <c r="AI455">
        <v>13820000</v>
      </c>
      <c r="AJ455" t="s">
        <v>119</v>
      </c>
      <c r="AK455">
        <v>67260000</v>
      </c>
      <c r="AL455" t="s">
        <v>809</v>
      </c>
      <c r="AM455">
        <v>213112</v>
      </c>
      <c r="AN455" t="s">
        <v>74</v>
      </c>
      <c r="AO455">
        <v>525990</v>
      </c>
      <c r="AP455" t="s">
        <v>811</v>
      </c>
      <c r="AQ455" t="s">
        <v>75</v>
      </c>
      <c r="AR455"/>
      <c r="AS455"/>
      <c r="AT455" t="s">
        <v>76</v>
      </c>
      <c r="AU455"/>
      <c r="AV455"/>
      <c r="AW455"/>
      <c r="AX455"/>
      <c r="AY455"/>
      <c r="AZ455"/>
      <c r="BA455"/>
      <c r="BB455"/>
      <c r="BC455"/>
      <c r="BD455"/>
      <c r="BE455"/>
      <c r="BF455">
        <v>0</v>
      </c>
      <c r="BG455">
        <v>0</v>
      </c>
      <c r="BH455" s="4"/>
      <c r="BI455" s="4"/>
      <c r="BJ455" s="4"/>
      <c r="BK455" s="4"/>
      <c r="BL455" s="4"/>
      <c r="BM455" s="4"/>
      <c r="BN455" s="4"/>
      <c r="BO455" s="4"/>
      <c r="BP455" s="4"/>
      <c r="BQ455" s="4"/>
      <c r="BR455" s="4"/>
      <c r="BS455" s="4"/>
      <c r="BT455" s="4"/>
      <c r="BU455" s="4"/>
      <c r="BV455" s="4"/>
      <c r="BW455" s="4"/>
      <c r="BX455" s="4"/>
      <c r="BY455" s="4"/>
      <c r="BZ455" s="4"/>
      <c r="CA455" s="4"/>
      <c r="CB455" s="4"/>
      <c r="CC455" s="4"/>
      <c r="CD455" s="4"/>
      <c r="CE455" s="4"/>
      <c r="CF455" s="4"/>
      <c r="CG455" s="4"/>
      <c r="CH455" s="4"/>
      <c r="CI455" s="4"/>
      <c r="CJ455" s="4"/>
      <c r="CK455" s="19">
        <f>IF(BQ455&gt;0,BQ455,W455)</f>
        <v>0</v>
      </c>
      <c r="CL455" s="20">
        <f>IF(BS455&gt;0,BS455,Y455)</f>
        <v>6</v>
      </c>
      <c r="CM455" s="78">
        <f>IF(CG455&gt;0,CG455,AM455)</f>
        <v>213112</v>
      </c>
      <c r="CN455" s="80">
        <f>IF($BH455="",1,COUNTIF($BH$3:$BH455,$BH455))</f>
        <v>1</v>
      </c>
      <c r="CO455"/>
      <c r="CP455" t="str">
        <f>IF($K455="Standard Match","Match",IF($K455="Name Only Match",IF($CO455="Yes","Match","Name Only Match"),"No Match"))</f>
        <v>Match</v>
      </c>
      <c r="CQ455" s="35" t="str">
        <f>IF(AND(CP455="Match",CK455&gt;0,CL455&gt;0),"Y","N")</f>
        <v>N</v>
      </c>
      <c r="CR455"/>
      <c r="CS455" t="str">
        <f>IF($CQ455="Y",VLOOKUP($CM455,'SBA Size Standards'!$B$3:$G$57,MATCH('SBA Size Standards'!$G$3,'SBA Size Standards'!$B$3:$G$3,0),FALSE),"")</f>
        <v/>
      </c>
      <c r="CT455" s="60" t="str">
        <f>IF(CQ455="Y",IF($CS455="Employment","N/A",VLOOKUP($CM455,'SBA Size Standards'!$B$3:$G$57,MATCH('SBA Size Standards'!$E$3,'SBA Size Standards'!$B$3:$G$3,0),FALSE)),"")</f>
        <v/>
      </c>
      <c r="CU455" s="86" t="str">
        <f>IF($CQ455="Y",IF($CS455="Revenue","N/A",VLOOKUP($CM455,'SBA Size Standards'!$B$3:$G$57,MATCH('SBA Size Standards'!$F$3,'SBA Size Standards'!$B$3:$G$3,0),FALSE)),"")</f>
        <v/>
      </c>
      <c r="CV455" t="str">
        <f>IF($CQ455="Y",IF(OR(AND($CS455="Employment",$CL455&lt;$CU455),AND($CS455="Revenue",$CK455&lt;$CT455)),"YES","NO"),"")</f>
        <v/>
      </c>
      <c r="CW455" s="90" t="str">
        <f>IF($CQ455="Y",INDEX('SBA Size Standards'!$N$3:$N$12,MATCH($CK455,'SBA Size Standards'!$O$3:$O$12,1)),"")</f>
        <v/>
      </c>
      <c r="CX455" s="122" t="s">
        <v>4604</v>
      </c>
      <c r="CY455" s="122">
        <f>INDEX('NM O&amp;G Production'!$P$3:$P$537,MATCH(CX455,'NM O&amp;G Production'!$Q$3:$Q$537,0))</f>
        <v>157</v>
      </c>
      <c r="CZ455" s="122" t="str">
        <f>INDEX('NM O&amp;G Production'!$O$3:$O$537,MATCH(CY455,'NM O&amp;G Production'!$P$3:$P$537,0))</f>
        <v>Yes</v>
      </c>
      <c r="DA455" s="127">
        <f>INDEX('NM O&amp;G Production'!$K$3:$O$537,MATCH($CY455,'NM O&amp;G Production'!$P$3:$P$537,0),MATCH(DA$2,'NM O&amp;G Production'!$K$2:$O$2,0))</f>
        <v>0</v>
      </c>
      <c r="DB455" s="127">
        <f>INDEX('NM O&amp;G Production'!$K$3:$O$537,MATCH($CY455,'NM O&amp;G Production'!$P$3:$P$537,0),MATCH(DB$2,'NM O&amp;G Production'!$K$2:$O$2,0))</f>
        <v>5</v>
      </c>
      <c r="DC455" s="127"/>
      <c r="DD455" s="127">
        <f>INDEX('NM O&amp;G Production'!$K$3:$O$537,MATCH($CY455,'NM O&amp;G Production'!$P$3:$P$537,0),MATCH(DD$2,'NM O&amp;G Production'!$K$2:$O$2,0))</f>
        <v>297314</v>
      </c>
      <c r="DE455" s="127">
        <f>INDEX('NM O&amp;G Production'!$K$3:$O$537,MATCH($CY455,'NM O&amp;G Production'!$P$3:$P$537,0),MATCH(DE$2,'NM O&amp;G Production'!$K$2:$O$2,0))</f>
        <v>2741</v>
      </c>
      <c r="DF455" s="258">
        <f>CK455/(DB455+DA455)</f>
        <v>0</v>
      </c>
      <c r="DG455" s="57">
        <f>DD455*(12/18)*1.06*'Oil and Gas Prices'!$C$18</f>
        <v>502143.52506666665</v>
      </c>
      <c r="DH455" s="284">
        <f>DE455*(12/18)*'Oil and Gas Prices'!$C$4</f>
        <v>82230</v>
      </c>
      <c r="DI455" s="284">
        <f>DG455+DH455</f>
        <v>584373.52506666665</v>
      </c>
      <c r="DJ455" s="57">
        <f>(DG455+DH455)/(DA455+DB455)</f>
        <v>116874.70501333333</v>
      </c>
      <c r="DK455" s="18">
        <f>CK455/DI455</f>
        <v>0</v>
      </c>
    </row>
    <row r="456" spans="1:115" x14ac:dyDescent="0.25">
      <c r="A456" t="s">
        <v>3501</v>
      </c>
      <c r="B456" t="s">
        <v>3502</v>
      </c>
      <c r="D456" t="s">
        <v>183</v>
      </c>
      <c r="E456" t="s">
        <v>184</v>
      </c>
      <c r="F456">
        <v>74147</v>
      </c>
      <c r="G456" t="s">
        <v>62</v>
      </c>
      <c r="I456">
        <v>515</v>
      </c>
      <c r="J456" t="s">
        <v>63</v>
      </c>
      <c r="K456" t="s">
        <v>4133</v>
      </c>
      <c r="L456" t="s">
        <v>149</v>
      </c>
      <c r="M456">
        <v>10</v>
      </c>
      <c r="N456" t="s">
        <v>3503</v>
      </c>
      <c r="O456" t="s">
        <v>3504</v>
      </c>
      <c r="P456" t="s">
        <v>3505</v>
      </c>
      <c r="Q456" t="s">
        <v>3506</v>
      </c>
      <c r="R456" t="s">
        <v>183</v>
      </c>
      <c r="S456" t="s">
        <v>188</v>
      </c>
      <c r="T456" t="s">
        <v>3507</v>
      </c>
      <c r="U456" t="s">
        <v>62</v>
      </c>
      <c r="V456">
        <v>9184817926</v>
      </c>
      <c r="X456">
        <v>22</v>
      </c>
      <c r="Y456">
        <v>22</v>
      </c>
      <c r="Z456">
        <v>2015</v>
      </c>
      <c r="AA456" t="s">
        <v>70</v>
      </c>
      <c r="AB456" t="s">
        <v>3508</v>
      </c>
      <c r="AC456" t="s">
        <v>133</v>
      </c>
      <c r="AD456" t="s">
        <v>1408</v>
      </c>
      <c r="AE456">
        <v>6719</v>
      </c>
      <c r="AF456" t="s">
        <v>1409</v>
      </c>
      <c r="AI456">
        <v>67199902</v>
      </c>
      <c r="AJ456" t="s">
        <v>3509</v>
      </c>
      <c r="AM456">
        <v>551112</v>
      </c>
      <c r="AN456" t="s">
        <v>1411</v>
      </c>
      <c r="AQ456" t="s">
        <v>75</v>
      </c>
      <c r="AT456" t="s">
        <v>76</v>
      </c>
      <c r="BF456">
        <v>0</v>
      </c>
      <c r="BG456">
        <v>0</v>
      </c>
      <c r="CK456" s="19">
        <f>IF(BQ456&gt;0,BQ456,W456)</f>
        <v>0</v>
      </c>
      <c r="CL456" s="20">
        <f>IF(BS456&gt;0,BS456,Y456)</f>
        <v>22</v>
      </c>
      <c r="CM456" s="78">
        <f>IF(CG456&gt;0,CG456,AM456)</f>
        <v>551112</v>
      </c>
      <c r="CN456" s="80">
        <f>IF($BH456="",1,COUNTIF($BH$3:$BH456,$BH456))</f>
        <v>1</v>
      </c>
      <c r="CP456" t="str">
        <f>IF($K456="Standard Match","Match",IF($K456="Name Only Match",IF($CO456="Yes","Match","Name Only Match"),"No Match"))</f>
        <v>Match</v>
      </c>
      <c r="CQ456" s="35" t="str">
        <f>IF(AND(CP456="Match",CK456&gt;0,CL456&gt;0),"Y","N")</f>
        <v>N</v>
      </c>
      <c r="CS456" t="str">
        <f>IF($CQ456="Y",VLOOKUP($CM456,'SBA Size Standards'!$B$3:$G$57,MATCH('SBA Size Standards'!$G$3,'SBA Size Standards'!$B$3:$G$3,0),FALSE),"")</f>
        <v/>
      </c>
      <c r="CT456" s="60" t="str">
        <f>IF(CQ456="Y",IF($CS456="Employment","N/A",VLOOKUP($CM456,'SBA Size Standards'!$B$3:$G$57,MATCH('SBA Size Standards'!$E$3,'SBA Size Standards'!$B$3:$G$3,0),FALSE)),"")</f>
        <v/>
      </c>
      <c r="CU456" s="86" t="str">
        <f>IF($CQ456="Y",IF($CS456="Revenue","N/A",VLOOKUP($CM456,'SBA Size Standards'!$B$3:$G$57,MATCH('SBA Size Standards'!$F$3,'SBA Size Standards'!$B$3:$G$3,0),FALSE)),"")</f>
        <v/>
      </c>
      <c r="CV456" t="str">
        <f>IF($CQ456="Y",IF(OR(AND($CS456="Employment",$CL456&lt;$CU456),AND($CS456="Revenue",$CK456&lt;$CT456)),"YES","NO"),"")</f>
        <v/>
      </c>
      <c r="CW456" s="90" t="str">
        <f>IF($CQ456="Y",INDEX('SBA Size Standards'!$N$3:$N$12,MATCH($CK456,'SBA Size Standards'!$O$3:$O$12,1)),"")</f>
        <v/>
      </c>
      <c r="CX456" s="122" t="s">
        <v>4782</v>
      </c>
      <c r="CY456" s="122">
        <f>INDEX('NM O&amp;G Production'!$P$3:$P$537,MATCH(CX456,'NM O&amp;G Production'!$Q$3:$Q$537,0))</f>
        <v>515</v>
      </c>
      <c r="CZ456" s="122" t="str">
        <f>INDEX('NM O&amp;G Production'!$O$3:$O$537,MATCH(CY456,'NM O&amp;G Production'!$P$3:$P$537,0))</f>
        <v>yes</v>
      </c>
      <c r="DA456" s="127">
        <f>INDEX('NM O&amp;G Production'!$K$3:$O$537,MATCH($CY456,'NM O&amp;G Production'!$P$3:$P$537,0),MATCH(DA$2,'NM O&amp;G Production'!$K$2:$O$2,0))</f>
        <v>2</v>
      </c>
      <c r="DB456" s="127">
        <f>INDEX('NM O&amp;G Production'!$K$3:$O$537,MATCH($CY456,'NM O&amp;G Production'!$P$3:$P$537,0),MATCH(DB$2,'NM O&amp;G Production'!$K$2:$O$2,0))</f>
        <v>3</v>
      </c>
      <c r="DC456" s="127"/>
      <c r="DD456" s="127">
        <f>INDEX('NM O&amp;G Production'!$K$3:$O$537,MATCH($CY456,'NM O&amp;G Production'!$P$3:$P$537,0),MATCH(DD$2,'NM O&amp;G Production'!$K$2:$O$2,0))</f>
        <v>21505</v>
      </c>
      <c r="DE456" s="127">
        <f>INDEX('NM O&amp;G Production'!$K$3:$O$537,MATCH($CY456,'NM O&amp;G Production'!$P$3:$P$537,0),MATCH(DE$2,'NM O&amp;G Production'!$K$2:$O$2,0))</f>
        <v>17983</v>
      </c>
      <c r="DF456" s="258">
        <f>CK456/(DB456+DA456)</f>
        <v>0</v>
      </c>
      <c r="DG456" s="57">
        <f>DD456*(12/18)*1.06*'Oil and Gas Prices'!$C$18</f>
        <v>36320.511333333336</v>
      </c>
      <c r="DH456" s="284">
        <f>DE456*(12/18)*'Oil and Gas Prices'!$C$4</f>
        <v>539490</v>
      </c>
      <c r="DI456" s="284">
        <f>DG456+DH456</f>
        <v>575810.51133333333</v>
      </c>
      <c r="DJ456" s="57">
        <f>(DG456+DH456)/(DA456+DB456)</f>
        <v>115162.10226666667</v>
      </c>
      <c r="DK456" s="18">
        <f>CK456/DI456</f>
        <v>0</v>
      </c>
    </row>
    <row r="457" spans="1:115" x14ac:dyDescent="0.25">
      <c r="A457" t="s">
        <v>1668</v>
      </c>
      <c r="B457" t="s">
        <v>1669</v>
      </c>
      <c r="D457" t="s">
        <v>1035</v>
      </c>
      <c r="E457" t="s">
        <v>84</v>
      </c>
      <c r="F457">
        <v>87413</v>
      </c>
      <c r="G457" t="s">
        <v>62</v>
      </c>
      <c r="I457">
        <v>227</v>
      </c>
      <c r="J457" t="s">
        <v>89</v>
      </c>
      <c r="K457" t="s">
        <v>4133</v>
      </c>
      <c r="L457" t="s">
        <v>279</v>
      </c>
      <c r="M457">
        <v>8</v>
      </c>
      <c r="N457" t="s">
        <v>1670</v>
      </c>
      <c r="O457" t="s">
        <v>1671</v>
      </c>
      <c r="R457" t="s">
        <v>1035</v>
      </c>
      <c r="S457" t="s">
        <v>214</v>
      </c>
      <c r="T457">
        <v>87413</v>
      </c>
      <c r="U457" t="s">
        <v>62</v>
      </c>
      <c r="X457">
        <v>2</v>
      </c>
      <c r="Y457">
        <v>2</v>
      </c>
      <c r="AA457" t="s">
        <v>70</v>
      </c>
      <c r="AD457" t="s">
        <v>1672</v>
      </c>
      <c r="AE457">
        <v>8999</v>
      </c>
      <c r="AF457" t="s">
        <v>1673</v>
      </c>
      <c r="AI457">
        <v>89991002</v>
      </c>
      <c r="AJ457" t="s">
        <v>1674</v>
      </c>
      <c r="AM457">
        <v>541990</v>
      </c>
      <c r="AN457" t="s">
        <v>1675</v>
      </c>
      <c r="AQ457" t="s">
        <v>75</v>
      </c>
      <c r="AT457" t="s">
        <v>76</v>
      </c>
      <c r="BF457">
        <v>0</v>
      </c>
      <c r="BG457">
        <v>0</v>
      </c>
      <c r="CK457" s="19">
        <f>IF(BQ457&gt;0,BQ457,W457)</f>
        <v>0</v>
      </c>
      <c r="CL457" s="20">
        <f>IF(BS457&gt;0,BS457,Y457)</f>
        <v>2</v>
      </c>
      <c r="CM457" s="78">
        <f>IF(CG457&gt;0,CG457,AM457)</f>
        <v>541990</v>
      </c>
      <c r="CN457" s="80">
        <f>IF($BH457="",1,COUNTIF($BH$3:$BH457,$BH457))</f>
        <v>1</v>
      </c>
      <c r="CP457" t="str">
        <f>IF($K457="Standard Match","Match",IF($K457="Name Only Match",IF($CO457="Yes","Match","Name Only Match"),"No Match"))</f>
        <v>Match</v>
      </c>
      <c r="CQ457" s="35" t="str">
        <f>IF(AND(CP457="Match",CK457&gt;0,CL457&gt;0),"Y","N")</f>
        <v>N</v>
      </c>
      <c r="CS457" t="str">
        <f>IF($CQ457="Y",VLOOKUP($CM457,'SBA Size Standards'!$B$3:$G$57,MATCH('SBA Size Standards'!$G$3,'SBA Size Standards'!$B$3:$G$3,0),FALSE),"")</f>
        <v/>
      </c>
      <c r="CT457" s="60" t="str">
        <f>IF(CQ457="Y",IF($CS457="Employment","N/A",VLOOKUP($CM457,'SBA Size Standards'!$B$3:$G$57,MATCH('SBA Size Standards'!$E$3,'SBA Size Standards'!$B$3:$G$3,0),FALSE)),"")</f>
        <v/>
      </c>
      <c r="CU457" s="86" t="str">
        <f>IF($CQ457="Y",IF($CS457="Revenue","N/A",VLOOKUP($CM457,'SBA Size Standards'!$B$3:$G$57,MATCH('SBA Size Standards'!$F$3,'SBA Size Standards'!$B$3:$G$3,0),FALSE)),"")</f>
        <v/>
      </c>
      <c r="CV457" t="str">
        <f>IF($CQ457="Y",IF(OR(AND($CS457="Employment",$CL457&lt;$CU457),AND($CS457="Revenue",$CK457&lt;$CT457)),"YES","NO"),"")</f>
        <v/>
      </c>
      <c r="CW457" s="90" t="str">
        <f>IF($CQ457="Y",INDEX('SBA Size Standards'!$N$3:$N$12,MATCH($CK457,'SBA Size Standards'!$O$3:$O$12,1)),"")</f>
        <v/>
      </c>
      <c r="CX457" s="122" t="s">
        <v>4853</v>
      </c>
      <c r="CY457" s="122">
        <f>INDEX('NM O&amp;G Production'!$P$3:$P$537,MATCH(CX457,'NM O&amp;G Production'!$Q$3:$Q$537,0))</f>
        <v>227</v>
      </c>
      <c r="CZ457" s="122" t="str">
        <f>INDEX('NM O&amp;G Production'!$O$3:$O$537,MATCH(CY457,'NM O&amp;G Production'!$P$3:$P$537,0))</f>
        <v>Yes</v>
      </c>
      <c r="DA457" s="127">
        <f>INDEX('NM O&amp;G Production'!$K$3:$O$537,MATCH($CY457,'NM O&amp;G Production'!$P$3:$P$537,0),MATCH(DA$2,'NM O&amp;G Production'!$K$2:$O$2,0))</f>
        <v>48</v>
      </c>
      <c r="DB457" s="127">
        <f>INDEX('NM O&amp;G Production'!$K$3:$O$537,MATCH($CY457,'NM O&amp;G Production'!$P$3:$P$537,0),MATCH(DB$2,'NM O&amp;G Production'!$K$2:$O$2,0))</f>
        <v>119</v>
      </c>
      <c r="DC457" s="127"/>
      <c r="DD457" s="127">
        <f>INDEX('NM O&amp;G Production'!$K$3:$O$537,MATCH($CY457,'NM O&amp;G Production'!$P$3:$P$537,0),MATCH(DD$2,'NM O&amp;G Production'!$K$2:$O$2,0))</f>
        <v>3790148</v>
      </c>
      <c r="DE457" s="127">
        <f>INDEX('NM O&amp;G Production'!$K$3:$O$537,MATCH($CY457,'NM O&amp;G Production'!$P$3:$P$537,0),MATCH(DE$2,'NM O&amp;G Production'!$K$2:$O$2,0))</f>
        <v>0</v>
      </c>
      <c r="DF457" s="258">
        <f>CK457/(DB457+DA457)</f>
        <v>0</v>
      </c>
      <c r="DG457" s="57">
        <f>DD457*(12/18)*1.06*'Oil and Gas Prices'!$C$18</f>
        <v>6401307.2954666661</v>
      </c>
      <c r="DH457" s="284">
        <f>DE457*(12/18)*'Oil and Gas Prices'!$C$4</f>
        <v>0</v>
      </c>
      <c r="DI457" s="284">
        <f>DG457+DH457</f>
        <v>6401307.2954666661</v>
      </c>
      <c r="DJ457" s="57">
        <f>(DG457+DH457)/(DA457+DB457)</f>
        <v>38331.181409980039</v>
      </c>
      <c r="DK457" s="18">
        <f>CK457/DI457</f>
        <v>0</v>
      </c>
    </row>
    <row r="458" spans="1:115" x14ac:dyDescent="0.25">
      <c r="A458" t="s">
        <v>2352</v>
      </c>
      <c r="B458" t="s">
        <v>2353</v>
      </c>
      <c r="D458" t="s">
        <v>60</v>
      </c>
      <c r="E458" t="s">
        <v>61</v>
      </c>
      <c r="F458">
        <v>80202</v>
      </c>
      <c r="G458" t="s">
        <v>62</v>
      </c>
      <c r="I458">
        <v>332</v>
      </c>
      <c r="J458" t="s">
        <v>404</v>
      </c>
      <c r="K458" t="s">
        <v>4133</v>
      </c>
      <c r="L458" t="s">
        <v>113</v>
      </c>
      <c r="M458">
        <v>8</v>
      </c>
      <c r="N458" t="s">
        <v>2354</v>
      </c>
      <c r="O458" t="s">
        <v>2355</v>
      </c>
      <c r="Q458" t="s">
        <v>2356</v>
      </c>
      <c r="R458" t="s">
        <v>60</v>
      </c>
      <c r="S458" t="s">
        <v>68</v>
      </c>
      <c r="T458" t="s">
        <v>2357</v>
      </c>
      <c r="U458" t="s">
        <v>62</v>
      </c>
      <c r="V458">
        <v>3033893600</v>
      </c>
      <c r="X458">
        <v>432</v>
      </c>
      <c r="Y458">
        <v>434</v>
      </c>
      <c r="AA458" t="s">
        <v>70</v>
      </c>
      <c r="AB458" t="s">
        <v>2358</v>
      </c>
      <c r="AC458" t="s">
        <v>98</v>
      </c>
      <c r="AD458" t="s">
        <v>99</v>
      </c>
      <c r="AE458">
        <v>1311</v>
      </c>
      <c r="AF458" t="s">
        <v>100</v>
      </c>
      <c r="AI458">
        <v>13110000</v>
      </c>
      <c r="AJ458" t="s">
        <v>276</v>
      </c>
      <c r="AM458">
        <v>211120</v>
      </c>
      <c r="AN458" t="s">
        <v>104</v>
      </c>
      <c r="AQ458" t="s">
        <v>75</v>
      </c>
      <c r="AT458" t="s">
        <v>76</v>
      </c>
      <c r="BF458">
        <v>0</v>
      </c>
      <c r="BG458">
        <v>0</v>
      </c>
      <c r="CK458" s="19">
        <f>IF(BQ458&gt;0,BQ458,W458)</f>
        <v>0</v>
      </c>
      <c r="CL458" s="20">
        <f>IF(BS458&gt;0,BS458,Y458)</f>
        <v>434</v>
      </c>
      <c r="CM458" s="78">
        <f>IF(CG458&gt;0,CG458,AM458)</f>
        <v>211120</v>
      </c>
      <c r="CN458" s="80">
        <f>IF($BH458="",1,COUNTIF($BH$3:$BH458,$BH458))</f>
        <v>1</v>
      </c>
      <c r="CP458" t="str">
        <f>IF($K458="Standard Match","Match",IF($K458="Name Only Match",IF($CO458="Yes","Match","Name Only Match"),"No Match"))</f>
        <v>Match</v>
      </c>
      <c r="CQ458" s="35" t="str">
        <f>IF(AND(CP458="Match",CK458&gt;0,CL458&gt;0),"Y","N")</f>
        <v>N</v>
      </c>
      <c r="CS458" t="str">
        <f>IF($CQ458="Y",VLOOKUP($CM458,'SBA Size Standards'!$B$3:$G$57,MATCH('SBA Size Standards'!$G$3,'SBA Size Standards'!$B$3:$G$3,0),FALSE),"")</f>
        <v/>
      </c>
      <c r="CT458" s="60" t="str">
        <f>IF(CQ458="Y",IF($CS458="Employment","N/A",VLOOKUP($CM458,'SBA Size Standards'!$B$3:$G$57,MATCH('SBA Size Standards'!$E$3,'SBA Size Standards'!$B$3:$G$3,0),FALSE)),"")</f>
        <v/>
      </c>
      <c r="CU458" s="86" t="str">
        <f>IF($CQ458="Y",IF($CS458="Revenue","N/A",VLOOKUP($CM458,'SBA Size Standards'!$B$3:$G$57,MATCH('SBA Size Standards'!$F$3,'SBA Size Standards'!$B$3:$G$3,0),FALSE)),"")</f>
        <v/>
      </c>
      <c r="CV458" t="str">
        <f>IF($CQ458="Y",IF(OR(AND($CS458="Employment",$CL458&lt;$CU458),AND($CS458="Revenue",$CK458&lt;$CT458)),"YES","NO"),"")</f>
        <v/>
      </c>
      <c r="CW458" s="90" t="str">
        <f>IF($CQ458="Y",INDEX('SBA Size Standards'!$N$3:$N$12,MATCH($CK458,'SBA Size Standards'!$O$3:$O$12,1)),"")</f>
        <v/>
      </c>
      <c r="CX458" s="122" t="s">
        <v>4878</v>
      </c>
      <c r="CY458" s="122">
        <f>INDEX('NM O&amp;G Production'!$P$3:$P$537,MATCH(CX458,'NM O&amp;G Production'!$Q$3:$Q$537,0))</f>
        <v>332</v>
      </c>
      <c r="CZ458" s="122" t="str">
        <f>INDEX('NM O&amp;G Production'!$O$3:$O$537,MATCH(CY458,'NM O&amp;G Production'!$P$3:$P$537,0))</f>
        <v>Yes</v>
      </c>
      <c r="DA458" s="127">
        <f>INDEX('NM O&amp;G Production'!$K$3:$O$537,MATCH($CY458,'NM O&amp;G Production'!$P$3:$P$537,0),MATCH(DA$2,'NM O&amp;G Production'!$K$2:$O$2,0))</f>
        <v>2</v>
      </c>
      <c r="DB458" s="127">
        <f>INDEX('NM O&amp;G Production'!$K$3:$O$537,MATCH($CY458,'NM O&amp;G Production'!$P$3:$P$537,0),MATCH(DB$2,'NM O&amp;G Production'!$K$2:$O$2,0))</f>
        <v>7</v>
      </c>
      <c r="DC458" s="127"/>
      <c r="DD458" s="127">
        <f>INDEX('NM O&amp;G Production'!$K$3:$O$537,MATCH($CY458,'NM O&amp;G Production'!$P$3:$P$537,0),MATCH(DD$2,'NM O&amp;G Production'!$K$2:$O$2,0))</f>
        <v>20166</v>
      </c>
      <c r="DE458" s="127">
        <f>INDEX('NM O&amp;G Production'!$K$3:$O$537,MATCH($CY458,'NM O&amp;G Production'!$P$3:$P$537,0),MATCH(DE$2,'NM O&amp;G Production'!$K$2:$O$2,0))</f>
        <v>8364</v>
      </c>
      <c r="DF458" s="258">
        <f>CK458/(DB458+DA458)</f>
        <v>0</v>
      </c>
      <c r="DG458" s="57">
        <f>DD458*(12/18)*1.06*'Oil and Gas Prices'!$C$18</f>
        <v>34059.029600000002</v>
      </c>
      <c r="DH458" s="284">
        <f>DE458*(12/18)*'Oil and Gas Prices'!$C$4</f>
        <v>250920</v>
      </c>
      <c r="DI458" s="284">
        <f>DG458+DH458</f>
        <v>284979.02960000001</v>
      </c>
      <c r="DJ458" s="57">
        <f>(DG458+DH458)/(DA458+DB458)</f>
        <v>31664.336622222225</v>
      </c>
      <c r="DK458" s="18">
        <f>CK458/DI458</f>
        <v>0</v>
      </c>
    </row>
    <row r="459" spans="1:115" x14ac:dyDescent="0.25">
      <c r="A459" s="21" t="s">
        <v>980</v>
      </c>
      <c r="B459" s="21" t="s">
        <v>293</v>
      </c>
      <c r="C459" s="21"/>
      <c r="D459" s="21" t="s">
        <v>206</v>
      </c>
      <c r="E459" s="21" t="s">
        <v>84</v>
      </c>
      <c r="F459">
        <v>88240</v>
      </c>
      <c r="G459" t="s">
        <v>62</v>
      </c>
      <c r="I459">
        <v>127</v>
      </c>
      <c r="J459" t="s">
        <v>404</v>
      </c>
      <c r="K459" t="s">
        <v>4134</v>
      </c>
      <c r="L459" t="s">
        <v>3627</v>
      </c>
      <c r="M459">
        <v>8</v>
      </c>
      <c r="N459" t="s">
        <v>3828</v>
      </c>
      <c r="O459" s="21" t="s">
        <v>3829</v>
      </c>
      <c r="P459" s="21"/>
      <c r="Q459" s="21" t="s">
        <v>3830</v>
      </c>
      <c r="R459" s="21" t="s">
        <v>945</v>
      </c>
      <c r="S459" s="21" t="s">
        <v>2381</v>
      </c>
      <c r="T459" t="s">
        <v>3831</v>
      </c>
      <c r="U459" t="s">
        <v>62</v>
      </c>
      <c r="V459">
        <v>7854834362</v>
      </c>
      <c r="W459" s="21"/>
      <c r="X459" s="21">
        <v>1</v>
      </c>
      <c r="Y459" s="21">
        <v>1</v>
      </c>
      <c r="AA459" s="21" t="s">
        <v>70</v>
      </c>
      <c r="AB459" t="s">
        <v>3832</v>
      </c>
      <c r="AC459" t="s">
        <v>483</v>
      </c>
      <c r="AD459" s="21" t="s">
        <v>99</v>
      </c>
      <c r="AE459">
        <v>1311</v>
      </c>
      <c r="AF459" t="s">
        <v>100</v>
      </c>
      <c r="AI459">
        <v>13110101</v>
      </c>
      <c r="AJ459" t="s">
        <v>102</v>
      </c>
      <c r="AM459" s="21">
        <v>211120</v>
      </c>
      <c r="AN459" s="21" t="s">
        <v>104</v>
      </c>
      <c r="AO459" s="21"/>
      <c r="AP459" s="21"/>
      <c r="AQ459" s="21" t="s">
        <v>75</v>
      </c>
      <c r="AT459" t="s">
        <v>76</v>
      </c>
      <c r="BF459">
        <v>0</v>
      </c>
      <c r="BG459" s="24">
        <v>0</v>
      </c>
      <c r="BH459" s="24"/>
      <c r="BI459" s="24"/>
      <c r="BJ459" s="24"/>
      <c r="BK459" s="24"/>
      <c r="BL459" s="24"/>
      <c r="BM459" s="24"/>
      <c r="BN459" s="24"/>
      <c r="BO459" s="24"/>
      <c r="BQ459" s="24"/>
      <c r="BR459" s="24"/>
      <c r="BS459" s="24"/>
      <c r="BU459" s="24"/>
      <c r="BX459" s="24"/>
      <c r="CG459" s="24"/>
      <c r="CH459" s="24"/>
      <c r="CI459" s="24"/>
      <c r="CJ459" s="24"/>
      <c r="CK459" s="19">
        <f>IF(BQ459&gt;0,BQ459,W459)</f>
        <v>0</v>
      </c>
      <c r="CL459" s="20">
        <f>IF(BS459&gt;0,BS459,Y459)</f>
        <v>1</v>
      </c>
      <c r="CM459" s="78">
        <f>IF(CG459&gt;0,CG459,AM459)</f>
        <v>211120</v>
      </c>
      <c r="CN459" s="80">
        <f>IF($BH459="",1,COUNTIF($BH$3:$BH459,$BH459))</f>
        <v>1</v>
      </c>
      <c r="CO459" s="33" t="s">
        <v>4386</v>
      </c>
      <c r="CP459" t="str">
        <f>IF($K459="Standard Match","Match",IF($K459="Name Only Match",IF($CO459="Yes","Match","Name Only Match"),"No Match"))</f>
        <v>Match</v>
      </c>
      <c r="CQ459" s="35" t="str">
        <f>IF(AND(CP459="Match",CK459&gt;0,CL459&gt;0),"Y","N")</f>
        <v>N</v>
      </c>
      <c r="CR459" s="21"/>
      <c r="CS459" t="str">
        <f>IF($CQ459="Y",VLOOKUP($CM459,'SBA Size Standards'!$B$3:$G$57,MATCH('SBA Size Standards'!$G$3,'SBA Size Standards'!$B$3:$G$3,0),FALSE),"")</f>
        <v/>
      </c>
      <c r="CT459" s="60" t="str">
        <f>IF(CQ459="Y",IF($CS459="Employment","N/A",VLOOKUP($CM459,'SBA Size Standards'!$B$3:$G$57,MATCH('SBA Size Standards'!$E$3,'SBA Size Standards'!$B$3:$G$3,0),FALSE)),"")</f>
        <v/>
      </c>
      <c r="CU459" s="86" t="str">
        <f>IF($CQ459="Y",IF($CS459="Revenue","N/A",VLOOKUP($CM459,'SBA Size Standards'!$B$3:$G$57,MATCH('SBA Size Standards'!$F$3,'SBA Size Standards'!$B$3:$G$3,0),FALSE)),"")</f>
        <v/>
      </c>
      <c r="CV459" t="str">
        <f>IF($CQ459="Y",IF(OR(AND($CS459="Employment",$CL459&lt;$CU459),AND($CS459="Revenue",$CK459&lt;$CT459)),"YES","NO"),"")</f>
        <v/>
      </c>
      <c r="CW459" s="90" t="str">
        <f>IF($CQ459="Y",INDEX('SBA Size Standards'!$N$3:$N$12,MATCH($CK459,'SBA Size Standards'!$O$3:$O$12,1)),"")</f>
        <v/>
      </c>
      <c r="CX459" s="122" t="s">
        <v>4953</v>
      </c>
      <c r="CY459" s="122">
        <f>INDEX('NM O&amp;G Production'!$P$3:$P$537,MATCH(CX459,'NM O&amp;G Production'!$Q$3:$Q$537,0))</f>
        <v>127</v>
      </c>
      <c r="CZ459" s="122" t="str">
        <f>INDEX('NM O&amp;G Production'!$O$3:$O$537,MATCH(CY459,'NM O&amp;G Production'!$P$3:$P$537,0))</f>
        <v>Yes</v>
      </c>
      <c r="DA459" s="127">
        <f>INDEX('NM O&amp;G Production'!$K$3:$O$537,MATCH($CY459,'NM O&amp;G Production'!$P$3:$P$537,0),MATCH(DA$2,'NM O&amp;G Production'!$K$2:$O$2,0))</f>
        <v>1</v>
      </c>
      <c r="DB459" s="127">
        <f>INDEX('NM O&amp;G Production'!$K$3:$O$537,MATCH($CY459,'NM O&amp;G Production'!$P$3:$P$537,0),MATCH(DB$2,'NM O&amp;G Production'!$K$2:$O$2,0))</f>
        <v>5</v>
      </c>
      <c r="DC459" s="127"/>
      <c r="DD459" s="127">
        <f>INDEX('NM O&amp;G Production'!$K$3:$O$537,MATCH($CY459,'NM O&amp;G Production'!$P$3:$P$537,0),MATCH(DD$2,'NM O&amp;G Production'!$K$2:$O$2,0))</f>
        <v>3078</v>
      </c>
      <c r="DE459" s="127">
        <f>INDEX('NM O&amp;G Production'!$K$3:$O$537,MATCH($CY459,'NM O&amp;G Production'!$P$3:$P$537,0),MATCH(DE$2,'NM O&amp;G Production'!$K$2:$O$2,0))</f>
        <v>5002</v>
      </c>
      <c r="DF459" s="258">
        <f>CK459/(DB459+DA459)</f>
        <v>0</v>
      </c>
      <c r="DG459" s="57">
        <f>DD459*(12/18)*1.06*'Oil and Gas Prices'!$C$18</f>
        <v>5198.5367999999999</v>
      </c>
      <c r="DH459" s="284">
        <f>DE459*(12/18)*'Oil and Gas Prices'!$C$4</f>
        <v>150060</v>
      </c>
      <c r="DI459" s="284">
        <f>DG459+DH459</f>
        <v>155258.5368</v>
      </c>
      <c r="DJ459" s="57">
        <f>(DG459+DH459)/(DA459+DB459)</f>
        <v>25876.4228</v>
      </c>
      <c r="DK459" s="18">
        <f>CK459/DI459</f>
        <v>0</v>
      </c>
    </row>
    <row r="460" spans="1:115" s="309" customFormat="1" x14ac:dyDescent="0.25">
      <c r="A460" t="s">
        <v>1708</v>
      </c>
      <c r="B460" t="s">
        <v>1709</v>
      </c>
      <c r="C460"/>
      <c r="D460" t="s">
        <v>83</v>
      </c>
      <c r="E460" t="s">
        <v>84</v>
      </c>
      <c r="F460">
        <v>88211</v>
      </c>
      <c r="G460" t="s">
        <v>62</v>
      </c>
      <c r="H460"/>
      <c r="I460">
        <v>235</v>
      </c>
      <c r="J460" t="s">
        <v>404</v>
      </c>
      <c r="K460" t="s">
        <v>4133</v>
      </c>
      <c r="L460" t="s">
        <v>149</v>
      </c>
      <c r="M460">
        <v>10</v>
      </c>
      <c r="N460" t="s">
        <v>1710</v>
      </c>
      <c r="O460" t="s">
        <v>1711</v>
      </c>
      <c r="P460" t="s">
        <v>1712</v>
      </c>
      <c r="Q460"/>
      <c r="R460" t="s">
        <v>83</v>
      </c>
      <c r="S460" t="s">
        <v>214</v>
      </c>
      <c r="T460">
        <v>88211</v>
      </c>
      <c r="U460" t="s">
        <v>62</v>
      </c>
      <c r="V460">
        <v>5054843205</v>
      </c>
      <c r="W460"/>
      <c r="X460">
        <v>1</v>
      </c>
      <c r="Y460">
        <v>1</v>
      </c>
      <c r="Z460"/>
      <c r="AA460" t="s">
        <v>70</v>
      </c>
      <c r="AB460" t="s">
        <v>1713</v>
      </c>
      <c r="AC460" t="s">
        <v>483</v>
      </c>
      <c r="AD460" t="s">
        <v>71</v>
      </c>
      <c r="AE460">
        <v>1389</v>
      </c>
      <c r="AF460" t="s">
        <v>72</v>
      </c>
      <c r="AG460"/>
      <c r="AH460"/>
      <c r="AI460">
        <v>13890000</v>
      </c>
      <c r="AJ460" t="s">
        <v>73</v>
      </c>
      <c r="AK460"/>
      <c r="AL460"/>
      <c r="AM460">
        <v>213112</v>
      </c>
      <c r="AN460" t="s">
        <v>74</v>
      </c>
      <c r="AO460"/>
      <c r="AP460"/>
      <c r="AQ460" t="s">
        <v>75</v>
      </c>
      <c r="AR460"/>
      <c r="AS460"/>
      <c r="AT460" t="s">
        <v>76</v>
      </c>
      <c r="AU460"/>
      <c r="AV460"/>
      <c r="AW460"/>
      <c r="AX460"/>
      <c r="AY460"/>
      <c r="AZ460"/>
      <c r="BA460"/>
      <c r="BB460"/>
      <c r="BC460"/>
      <c r="BD460"/>
      <c r="BE460"/>
      <c r="BF460">
        <v>0</v>
      </c>
      <c r="BG460">
        <v>0</v>
      </c>
      <c r="BH460" s="4"/>
      <c r="BI460" s="4"/>
      <c r="BJ460" s="4"/>
      <c r="BK460" s="4"/>
      <c r="BL460" s="4"/>
      <c r="BM460" s="4"/>
      <c r="BN460" s="4"/>
      <c r="BO460" s="4"/>
      <c r="BP460" s="4"/>
      <c r="BQ460" s="4"/>
      <c r="BR460" s="4"/>
      <c r="BS460" s="4"/>
      <c r="BT460" s="4"/>
      <c r="BU460" s="4"/>
      <c r="BV460" s="4"/>
      <c r="BW460" s="4"/>
      <c r="BX460" s="4"/>
      <c r="BY460" s="4"/>
      <c r="BZ460" s="4"/>
      <c r="CA460" s="4"/>
      <c r="CB460" s="4"/>
      <c r="CC460" s="4"/>
      <c r="CD460" s="4"/>
      <c r="CE460" s="4"/>
      <c r="CF460" s="4"/>
      <c r="CG460" s="4"/>
      <c r="CH460" s="4"/>
      <c r="CI460" s="4"/>
      <c r="CJ460" s="4"/>
      <c r="CK460" s="19">
        <f>IF(BQ460&gt;0,BQ460,W460)</f>
        <v>0</v>
      </c>
      <c r="CL460" s="20">
        <f>IF(BS460&gt;0,BS460,Y460)</f>
        <v>1</v>
      </c>
      <c r="CM460" s="78">
        <f>IF(CG460&gt;0,CG460,AM460)</f>
        <v>213112</v>
      </c>
      <c r="CN460" s="80">
        <f>IF($BH460="",1,COUNTIF($BH$3:$BH460,$BH460))</f>
        <v>1</v>
      </c>
      <c r="CO460"/>
      <c r="CP460" t="str">
        <f>IF($K460="Standard Match","Match",IF($K460="Name Only Match",IF($CO460="Yes","Match","Name Only Match"),"No Match"))</f>
        <v>Match</v>
      </c>
      <c r="CQ460" s="35" t="str">
        <f>IF(AND(CP460="Match",CK460&gt;0,CL460&gt;0),"Y","N")</f>
        <v>N</v>
      </c>
      <c r="CR460"/>
      <c r="CS460" t="str">
        <f>IF($CQ460="Y",VLOOKUP($CM460,'SBA Size Standards'!$B$3:$G$57,MATCH('SBA Size Standards'!$G$3,'SBA Size Standards'!$B$3:$G$3,0),FALSE),"")</f>
        <v/>
      </c>
      <c r="CT460" s="60" t="str">
        <f>IF(CQ460="Y",IF($CS460="Employment","N/A",VLOOKUP($CM460,'SBA Size Standards'!$B$3:$G$57,MATCH('SBA Size Standards'!$E$3,'SBA Size Standards'!$B$3:$G$3,0),FALSE)),"")</f>
        <v/>
      </c>
      <c r="CU460" s="86" t="str">
        <f>IF($CQ460="Y",IF($CS460="Revenue","N/A",VLOOKUP($CM460,'SBA Size Standards'!$B$3:$G$57,MATCH('SBA Size Standards'!$F$3,'SBA Size Standards'!$B$3:$G$3,0),FALSE)),"")</f>
        <v/>
      </c>
      <c r="CV460" t="str">
        <f>IF($CQ460="Y",IF(OR(AND($CS460="Employment",$CL460&lt;$CU460),AND($CS460="Revenue",$CK460&lt;$CT460)),"YES","NO"),"")</f>
        <v/>
      </c>
      <c r="CW460" s="90" t="str">
        <f>IF($CQ460="Y",INDEX('SBA Size Standards'!$N$3:$N$12,MATCH($CK460,'SBA Size Standards'!$O$3:$O$12,1)),"")</f>
        <v/>
      </c>
      <c r="CX460" s="122" t="s">
        <v>4647</v>
      </c>
      <c r="CY460" s="122">
        <f>INDEX('NM O&amp;G Production'!$P$3:$P$537,MATCH(CX460,'NM O&amp;G Production'!$Q$3:$Q$537,0))</f>
        <v>235</v>
      </c>
      <c r="CZ460" s="122" t="str">
        <f>INDEX('NM O&amp;G Production'!$O$3:$O$537,MATCH(CY460,'NM O&amp;G Production'!$P$3:$P$537,0))</f>
        <v>Yes</v>
      </c>
      <c r="DA460" s="127">
        <f>INDEX('NM O&amp;G Production'!$K$3:$O$537,MATCH($CY460,'NM O&amp;G Production'!$P$3:$P$537,0),MATCH(DA$2,'NM O&amp;G Production'!$K$2:$O$2,0))</f>
        <v>1</v>
      </c>
      <c r="DB460" s="127">
        <f>INDEX('NM O&amp;G Production'!$K$3:$O$537,MATCH($CY460,'NM O&amp;G Production'!$P$3:$P$537,0),MATCH(DB$2,'NM O&amp;G Production'!$K$2:$O$2,0))</f>
        <v>26</v>
      </c>
      <c r="DC460" s="127"/>
      <c r="DD460" s="127">
        <f>INDEX('NM O&amp;G Production'!$K$3:$O$537,MATCH($CY460,'NM O&amp;G Production'!$P$3:$P$537,0),MATCH(DD$2,'NM O&amp;G Production'!$K$2:$O$2,0))</f>
        <v>12171</v>
      </c>
      <c r="DE460" s="127">
        <f>INDEX('NM O&amp;G Production'!$K$3:$O$537,MATCH($CY460,'NM O&amp;G Production'!$P$3:$P$537,0),MATCH(DE$2,'NM O&amp;G Production'!$K$2:$O$2,0))</f>
        <v>13309</v>
      </c>
      <c r="DF460" s="258">
        <f>CK460/(DB460+DA460)</f>
        <v>0</v>
      </c>
      <c r="DG460" s="57">
        <f>DD460*(12/18)*1.06*'Oil and Gas Prices'!$C$18</f>
        <v>20556.007600000001</v>
      </c>
      <c r="DH460" s="284">
        <f>DE460*(12/18)*'Oil and Gas Prices'!$C$4</f>
        <v>399270</v>
      </c>
      <c r="DI460" s="284">
        <f>DG460+DH460</f>
        <v>419826.00760000001</v>
      </c>
      <c r="DJ460" s="57">
        <f>(DG460+DH460)/(DA460+DB460)</f>
        <v>15549.111392592593</v>
      </c>
      <c r="DK460" s="18">
        <f>CK460/DI460</f>
        <v>0</v>
      </c>
    </row>
    <row r="461" spans="1:115" s="21" customFormat="1" x14ac:dyDescent="0.25">
      <c r="A461" t="s">
        <v>511</v>
      </c>
      <c r="B461" t="s">
        <v>512</v>
      </c>
      <c r="C461"/>
      <c r="D461" t="s">
        <v>513</v>
      </c>
      <c r="E461" t="s">
        <v>84</v>
      </c>
      <c r="F461">
        <v>88231</v>
      </c>
      <c r="G461" t="s">
        <v>62</v>
      </c>
      <c r="H461"/>
      <c r="I461">
        <v>62</v>
      </c>
      <c r="J461" t="s">
        <v>404</v>
      </c>
      <c r="K461" t="s">
        <v>4133</v>
      </c>
      <c r="L461" t="s">
        <v>279</v>
      </c>
      <c r="M461">
        <v>8</v>
      </c>
      <c r="N461" t="s">
        <v>514</v>
      </c>
      <c r="O461" t="s">
        <v>515</v>
      </c>
      <c r="P461"/>
      <c r="Q461" t="s">
        <v>516</v>
      </c>
      <c r="R461" t="s">
        <v>513</v>
      </c>
      <c r="S461" t="s">
        <v>214</v>
      </c>
      <c r="T461">
        <v>88231</v>
      </c>
      <c r="U461" t="s">
        <v>62</v>
      </c>
      <c r="V461">
        <v>5754201108</v>
      </c>
      <c r="W461"/>
      <c r="X461">
        <v>4</v>
      </c>
      <c r="Y461">
        <v>4</v>
      </c>
      <c r="Z461"/>
      <c r="AA461" t="s">
        <v>70</v>
      </c>
      <c r="AB461"/>
      <c r="AC461"/>
      <c r="AD461" t="s">
        <v>517</v>
      </c>
      <c r="AE461">
        <v>1381</v>
      </c>
      <c r="AF461" t="s">
        <v>518</v>
      </c>
      <c r="AG461"/>
      <c r="AH461"/>
      <c r="AI461">
        <v>13810000</v>
      </c>
      <c r="AJ461" t="s">
        <v>519</v>
      </c>
      <c r="AK461"/>
      <c r="AL461"/>
      <c r="AM461">
        <v>213111</v>
      </c>
      <c r="AN461" t="s">
        <v>518</v>
      </c>
      <c r="AO461"/>
      <c r="AP461"/>
      <c r="AQ461" t="s">
        <v>75</v>
      </c>
      <c r="AR461"/>
      <c r="AS461"/>
      <c r="AT461" t="s">
        <v>76</v>
      </c>
      <c r="AU461"/>
      <c r="AV461"/>
      <c r="AW461"/>
      <c r="AX461"/>
      <c r="AY461"/>
      <c r="AZ461"/>
      <c r="BA461"/>
      <c r="BB461"/>
      <c r="BC461"/>
      <c r="BD461"/>
      <c r="BE461"/>
      <c r="BF461">
        <v>0</v>
      </c>
      <c r="BG461">
        <v>0</v>
      </c>
      <c r="BH461" s="4"/>
      <c r="BI461" s="4"/>
      <c r="BJ461" s="4"/>
      <c r="BK461" s="4"/>
      <c r="BL461" s="4"/>
      <c r="BM461" s="4"/>
      <c r="BN461" s="4"/>
      <c r="BO461" s="4"/>
      <c r="BP461" s="4"/>
      <c r="BQ461" s="4"/>
      <c r="BR461" s="4"/>
      <c r="BS461" s="4"/>
      <c r="BT461" s="4"/>
      <c r="BU461" s="4"/>
      <c r="BV461" s="4"/>
      <c r="BW461" s="4"/>
      <c r="BX461" s="4"/>
      <c r="BY461" s="4"/>
      <c r="BZ461" s="4"/>
      <c r="CA461" s="4"/>
      <c r="CB461" s="4"/>
      <c r="CC461" s="4"/>
      <c r="CD461" s="4"/>
      <c r="CE461" s="4"/>
      <c r="CF461" s="4"/>
      <c r="CG461" s="4"/>
      <c r="CH461" s="4"/>
      <c r="CI461" s="4"/>
      <c r="CJ461" s="4"/>
      <c r="CK461" s="19">
        <f>IF(BQ461&gt;0,BQ461,W461)</f>
        <v>0</v>
      </c>
      <c r="CL461" s="20">
        <f>IF(BS461&gt;0,BS461,Y461)</f>
        <v>4</v>
      </c>
      <c r="CM461" s="78">
        <f>IF(CG461&gt;0,CG461,AM461)</f>
        <v>213111</v>
      </c>
      <c r="CN461" s="80">
        <f>IF($BH461="",1,COUNTIF($BH$3:$BH461,$BH461))</f>
        <v>1</v>
      </c>
      <c r="CO461"/>
      <c r="CP461" t="str">
        <f>IF($K461="Standard Match","Match",IF($K461="Name Only Match",IF($CO461="Yes","Match","Name Only Match"),"No Match"))</f>
        <v>Match</v>
      </c>
      <c r="CQ461" s="35" t="str">
        <f>IF(AND(CP461="Match",CK461&gt;0,CL461&gt;0),"Y","N")</f>
        <v>N</v>
      </c>
      <c r="CR461"/>
      <c r="CS461" t="str">
        <f>IF($CQ461="Y",VLOOKUP($CM461,'SBA Size Standards'!$B$3:$G$57,MATCH('SBA Size Standards'!$G$3,'SBA Size Standards'!$B$3:$G$3,0),FALSE),"")</f>
        <v/>
      </c>
      <c r="CT461" s="60" t="str">
        <f>IF(CQ461="Y",IF($CS461="Employment","N/A",VLOOKUP($CM461,'SBA Size Standards'!$B$3:$G$57,MATCH('SBA Size Standards'!$E$3,'SBA Size Standards'!$B$3:$G$3,0),FALSE)),"")</f>
        <v/>
      </c>
      <c r="CU461" s="86" t="str">
        <f>IF($CQ461="Y",IF($CS461="Revenue","N/A",VLOOKUP($CM461,'SBA Size Standards'!$B$3:$G$57,MATCH('SBA Size Standards'!$F$3,'SBA Size Standards'!$B$3:$G$3,0),FALSE)),"")</f>
        <v/>
      </c>
      <c r="CV461" t="str">
        <f>IF($CQ461="Y",IF(OR(AND($CS461="Employment",$CL461&lt;$CU461),AND($CS461="Revenue",$CK461&lt;$CT461)),"YES","NO"),"")</f>
        <v/>
      </c>
      <c r="CW461" s="90" t="str">
        <f>IF($CQ461="Y",INDEX('SBA Size Standards'!$N$3:$N$12,MATCH($CK461,'SBA Size Standards'!$O$3:$O$12,1)),"")</f>
        <v/>
      </c>
      <c r="CX461" s="122" t="s">
        <v>4811</v>
      </c>
      <c r="CY461" s="122">
        <f>INDEX('NM O&amp;G Production'!$P$3:$P$537,MATCH(CX461,'NM O&amp;G Production'!$Q$3:$Q$537,0))</f>
        <v>62</v>
      </c>
      <c r="CZ461" s="122" t="str">
        <f>INDEX('NM O&amp;G Production'!$O$3:$O$537,MATCH(CY461,'NM O&amp;G Production'!$P$3:$P$537,0))</f>
        <v>Yes</v>
      </c>
      <c r="DA461" s="127">
        <f>INDEX('NM O&amp;G Production'!$K$3:$O$537,MATCH($CY461,'NM O&amp;G Production'!$P$3:$P$537,0),MATCH(DA$2,'NM O&amp;G Production'!$K$2:$O$2,0))</f>
        <v>0</v>
      </c>
      <c r="DB461" s="127">
        <f>INDEX('NM O&amp;G Production'!$K$3:$O$537,MATCH($CY461,'NM O&amp;G Production'!$P$3:$P$537,0),MATCH(DB$2,'NM O&amp;G Production'!$K$2:$O$2,0))</f>
        <v>80</v>
      </c>
      <c r="DC461" s="127"/>
      <c r="DD461" s="127">
        <f>INDEX('NM O&amp;G Production'!$K$3:$O$537,MATCH($CY461,'NM O&amp;G Production'!$P$3:$P$537,0),MATCH(DD$2,'NM O&amp;G Production'!$K$2:$O$2,0))</f>
        <v>149421</v>
      </c>
      <c r="DE461" s="127">
        <f>INDEX('NM O&amp;G Production'!$K$3:$O$537,MATCH($CY461,'NM O&amp;G Production'!$P$3:$P$537,0),MATCH(DE$2,'NM O&amp;G Production'!$K$2:$O$2,0))</f>
        <v>32116</v>
      </c>
      <c r="DF461" s="258">
        <f>CK461/(DB461+DA461)</f>
        <v>0</v>
      </c>
      <c r="DG461" s="57">
        <f>DD461*(12/18)*1.06*'Oil and Gas Prices'!$C$18</f>
        <v>252362.10760000005</v>
      </c>
      <c r="DH461" s="284">
        <f>DE461*(12/18)*'Oil and Gas Prices'!$C$4</f>
        <v>963479.99999999988</v>
      </c>
      <c r="DI461" s="284">
        <f>DG461+DH461</f>
        <v>1215842.1076</v>
      </c>
      <c r="DJ461" s="57">
        <f>(DG461+DH461)/(DA461+DB461)</f>
        <v>15198.026345</v>
      </c>
      <c r="DK461" s="18">
        <f>CK461/DI461</f>
        <v>0</v>
      </c>
    </row>
    <row r="462" spans="1:115" s="21" customFormat="1" x14ac:dyDescent="0.25">
      <c r="A462" t="s">
        <v>1401</v>
      </c>
      <c r="B462" t="s">
        <v>1402</v>
      </c>
      <c r="C462"/>
      <c r="D462" t="s">
        <v>112</v>
      </c>
      <c r="E462" t="s">
        <v>80</v>
      </c>
      <c r="F462">
        <v>77057</v>
      </c>
      <c r="G462" t="s">
        <v>62</v>
      </c>
      <c r="H462"/>
      <c r="I462">
        <v>188</v>
      </c>
      <c r="J462" t="s">
        <v>63</v>
      </c>
      <c r="K462" t="s">
        <v>4133</v>
      </c>
      <c r="L462" t="s">
        <v>64</v>
      </c>
      <c r="M462">
        <v>10</v>
      </c>
      <c r="N462" t="s">
        <v>1403</v>
      </c>
      <c r="O462" t="s">
        <v>1404</v>
      </c>
      <c r="P462"/>
      <c r="Q462" t="s">
        <v>1405</v>
      </c>
      <c r="R462" t="s">
        <v>112</v>
      </c>
      <c r="S462" t="s">
        <v>94</v>
      </c>
      <c r="T462" t="s">
        <v>1406</v>
      </c>
      <c r="U462" t="s">
        <v>62</v>
      </c>
      <c r="V462"/>
      <c r="W462"/>
      <c r="X462">
        <v>0</v>
      </c>
      <c r="Y462">
        <v>0</v>
      </c>
      <c r="Z462"/>
      <c r="AA462" t="s">
        <v>70</v>
      </c>
      <c r="AB462" t="s">
        <v>1407</v>
      </c>
      <c r="AC462" t="s">
        <v>98</v>
      </c>
      <c r="AD462" t="s">
        <v>1408</v>
      </c>
      <c r="AE462">
        <v>6719</v>
      </c>
      <c r="AF462" t="s">
        <v>1409</v>
      </c>
      <c r="AG462"/>
      <c r="AH462"/>
      <c r="AI462">
        <v>67190000</v>
      </c>
      <c r="AJ462" t="s">
        <v>1410</v>
      </c>
      <c r="AK462"/>
      <c r="AL462"/>
      <c r="AM462">
        <v>551112</v>
      </c>
      <c r="AN462" t="s">
        <v>1411</v>
      </c>
      <c r="AO462"/>
      <c r="AP462"/>
      <c r="AQ462" t="s">
        <v>75</v>
      </c>
      <c r="AR462"/>
      <c r="AS462"/>
      <c r="AT462" t="s">
        <v>76</v>
      </c>
      <c r="AU462"/>
      <c r="AV462"/>
      <c r="AW462"/>
      <c r="AX462"/>
      <c r="AY462"/>
      <c r="AZ462"/>
      <c r="BA462"/>
      <c r="BB462"/>
      <c r="BC462"/>
      <c r="BD462"/>
      <c r="BE462"/>
      <c r="BF462">
        <v>0</v>
      </c>
      <c r="BG462">
        <v>0</v>
      </c>
      <c r="BH462" s="4"/>
      <c r="BI462" s="4"/>
      <c r="BJ462" s="4"/>
      <c r="BK462" s="4"/>
      <c r="BL462" s="4"/>
      <c r="BM462" s="4"/>
      <c r="BN462" s="4"/>
      <c r="BO462" s="4"/>
      <c r="BP462" s="4"/>
      <c r="BQ462" s="4"/>
      <c r="BR462" s="4"/>
      <c r="BS462" s="4"/>
      <c r="BT462" s="4"/>
      <c r="BU462" s="4"/>
      <c r="BV462" s="4"/>
      <c r="BW462" s="4"/>
      <c r="BX462" s="4"/>
      <c r="BY462" s="4"/>
      <c r="BZ462" s="4"/>
      <c r="CA462" s="4"/>
      <c r="CB462" s="4"/>
      <c r="CC462" s="4"/>
      <c r="CD462" s="4"/>
      <c r="CE462" s="4"/>
      <c r="CF462" s="4"/>
      <c r="CG462" s="4"/>
      <c r="CH462" s="4"/>
      <c r="CI462" s="4"/>
      <c r="CJ462" s="4"/>
      <c r="CK462" s="19">
        <f>IF(BQ462&gt;0,BQ462,W462)</f>
        <v>0</v>
      </c>
      <c r="CL462" s="20">
        <f>IF(BS462&gt;0,BS462,Y462)</f>
        <v>0</v>
      </c>
      <c r="CM462" s="78">
        <f>IF(CG462&gt;0,CG462,AM462)</f>
        <v>551112</v>
      </c>
      <c r="CN462" s="80">
        <f>IF($BH462="",1,COUNTIF($BH$3:$BH462,$BH462))</f>
        <v>1</v>
      </c>
      <c r="CO462"/>
      <c r="CP462" t="str">
        <f>IF($K462="Standard Match","Match",IF($K462="Name Only Match",IF($CO462="Yes","Match","Name Only Match"),"No Match"))</f>
        <v>Match</v>
      </c>
      <c r="CQ462" s="35" t="str">
        <f>IF(AND(CP462="Match",CK462&gt;0,CL462&gt;0),"Y","N")</f>
        <v>N</v>
      </c>
      <c r="CR462"/>
      <c r="CS462" t="str">
        <f>IF($CQ462="Y",VLOOKUP($CM462,'SBA Size Standards'!$B$3:$G$57,MATCH('SBA Size Standards'!$G$3,'SBA Size Standards'!$B$3:$G$3,0),FALSE),"")</f>
        <v/>
      </c>
      <c r="CT462" s="60" t="str">
        <f>IF(CQ462="Y",IF($CS462="Employment","N/A",VLOOKUP($CM462,'SBA Size Standards'!$B$3:$G$57,MATCH('SBA Size Standards'!$E$3,'SBA Size Standards'!$B$3:$G$3,0),FALSE)),"")</f>
        <v/>
      </c>
      <c r="CU462" s="86" t="str">
        <f>IF($CQ462="Y",IF($CS462="Revenue","N/A",VLOOKUP($CM462,'SBA Size Standards'!$B$3:$G$57,MATCH('SBA Size Standards'!$F$3,'SBA Size Standards'!$B$3:$G$3,0),FALSE)),"")</f>
        <v/>
      </c>
      <c r="CV462" t="str">
        <f>IF($CQ462="Y",IF(OR(AND($CS462="Employment",$CL462&lt;$CU462),AND($CS462="Revenue",$CK462&lt;$CT462)),"YES","NO"),"")</f>
        <v/>
      </c>
      <c r="CW462" s="90" t="str">
        <f>IF($CQ462="Y",INDEX('SBA Size Standards'!$N$3:$N$12,MATCH($CK462,'SBA Size Standards'!$O$3:$O$12,1)),"")</f>
        <v/>
      </c>
      <c r="CX462" s="122" t="s">
        <v>4617</v>
      </c>
      <c r="CY462" s="122">
        <f>INDEX('NM O&amp;G Production'!$P$3:$P$537,MATCH(CX462,'NM O&amp;G Production'!$Q$3:$Q$537,0))</f>
        <v>188</v>
      </c>
      <c r="CZ462" s="122" t="str">
        <f>INDEX('NM O&amp;G Production'!$O$3:$O$537,MATCH(CY462,'NM O&amp;G Production'!$P$3:$P$537,0))</f>
        <v>Yes</v>
      </c>
      <c r="DA462" s="127">
        <f>INDEX('NM O&amp;G Production'!$K$3:$O$537,MATCH($CY462,'NM O&amp;G Production'!$P$3:$P$537,0),MATCH(DA$2,'NM O&amp;G Production'!$K$2:$O$2,0))</f>
        <v>21</v>
      </c>
      <c r="DB462" s="127">
        <f>INDEX('NM O&amp;G Production'!$K$3:$O$537,MATCH($CY462,'NM O&amp;G Production'!$P$3:$P$537,0),MATCH(DB$2,'NM O&amp;G Production'!$K$2:$O$2,0))</f>
        <v>15</v>
      </c>
      <c r="DC462" s="127"/>
      <c r="DD462" s="127">
        <f>INDEX('NM O&amp;G Production'!$K$3:$O$537,MATCH($CY462,'NM O&amp;G Production'!$P$3:$P$537,0),MATCH(DD$2,'NM O&amp;G Production'!$K$2:$O$2,0))</f>
        <v>45189</v>
      </c>
      <c r="DE462" s="127">
        <f>INDEX('NM O&amp;G Production'!$K$3:$O$537,MATCH($CY462,'NM O&amp;G Production'!$P$3:$P$537,0),MATCH(DE$2,'NM O&amp;G Production'!$K$2:$O$2,0))</f>
        <v>8097</v>
      </c>
      <c r="DF462" s="258">
        <f>CK462/(DB462+DA462)</f>
        <v>0</v>
      </c>
      <c r="DG462" s="57">
        <f>DD462*(12/18)*1.06*'Oil and Gas Prices'!$C$18</f>
        <v>76321.208400000003</v>
      </c>
      <c r="DH462" s="284">
        <f>DE462*(12/18)*'Oil and Gas Prices'!$C$4</f>
        <v>242910</v>
      </c>
      <c r="DI462" s="284">
        <f>DG462+DH462</f>
        <v>319231.2084</v>
      </c>
      <c r="DJ462" s="57">
        <f>(DG462+DH462)/(DA462+DB462)</f>
        <v>8867.533566666667</v>
      </c>
      <c r="DK462" s="18">
        <f>CK462/DI462</f>
        <v>0</v>
      </c>
    </row>
    <row r="463" spans="1:115" s="21" customFormat="1" x14ac:dyDescent="0.25">
      <c r="A463" s="33" t="s">
        <v>765</v>
      </c>
      <c r="B463" t="s">
        <v>766</v>
      </c>
      <c r="C463"/>
      <c r="D463" t="s">
        <v>112</v>
      </c>
      <c r="E463" t="s">
        <v>80</v>
      </c>
      <c r="F463">
        <v>79705</v>
      </c>
      <c r="G463" t="s">
        <v>62</v>
      </c>
      <c r="H463"/>
      <c r="I463">
        <v>94</v>
      </c>
      <c r="J463"/>
      <c r="K463"/>
      <c r="L463"/>
      <c r="M463"/>
      <c r="N463"/>
      <c r="O463"/>
      <c r="P463"/>
      <c r="Q463"/>
      <c r="R463"/>
      <c r="S463"/>
      <c r="T463"/>
      <c r="U463"/>
      <c r="V463"/>
      <c r="W463"/>
      <c r="X463"/>
      <c r="Y463"/>
      <c r="Z463"/>
      <c r="AA463"/>
      <c r="AB463"/>
      <c r="AC463"/>
      <c r="AD463"/>
      <c r="AE463"/>
      <c r="AF463"/>
      <c r="AG463"/>
      <c r="AH463"/>
      <c r="AI463"/>
      <c r="AJ463"/>
      <c r="AK463"/>
      <c r="AL463"/>
      <c r="AM463"/>
      <c r="AN463"/>
      <c r="AO463"/>
      <c r="AP463"/>
      <c r="AQ463"/>
      <c r="AR463"/>
      <c r="AS463"/>
      <c r="AT463"/>
      <c r="AU463"/>
      <c r="AV463"/>
      <c r="AW463"/>
      <c r="AX463"/>
      <c r="AY463"/>
      <c r="AZ463"/>
      <c r="BA463"/>
      <c r="BB463"/>
      <c r="BC463"/>
      <c r="BD463"/>
      <c r="BE463"/>
      <c r="BF463"/>
      <c r="BG463"/>
      <c r="CK463"/>
      <c r="CL463"/>
      <c r="CN463" s="61">
        <f>IF($BH463="",1,COUNTIF($BH$3:$BH463,$BH463))</f>
        <v>1</v>
      </c>
      <c r="CO463"/>
      <c r="CP463" t="str">
        <f>IF($K463="Standard Match","Match",IF($K463="Name Only Match",IF($CO463="Yes","Match","Name Only Match"),"No Match"))</f>
        <v>No Match</v>
      </c>
      <c r="CQ463" s="35" t="str">
        <f>IF(AND(CP463="Match",CK463&gt;0,CL463&gt;0),"Y","N")</f>
        <v>N</v>
      </c>
      <c r="CR463"/>
      <c r="CS463" t="str">
        <f>IF($CQ463="Y",VLOOKUP($CM463,'SBA Size Standards'!$B$3:$G$57,MATCH('SBA Size Standards'!$G$3,'SBA Size Standards'!$B$3:$G$3,0),FALSE),"")</f>
        <v/>
      </c>
      <c r="CT463" s="60" t="str">
        <f>IF(CQ463="Y",IF($CS463="Employment","N/A",VLOOKUP($CM463,'SBA Size Standards'!$B$3:$G$57,MATCH('SBA Size Standards'!$E$3,'SBA Size Standards'!$B$3:$G$3,0),FALSE)),"")</f>
        <v/>
      </c>
      <c r="CU463" s="86" t="str">
        <f>IF($CQ463="Y",IF($CS463="Revenue","N/A",VLOOKUP($CM463,'SBA Size Standards'!$B$3:$G$57,MATCH('SBA Size Standards'!$F$3,'SBA Size Standards'!$B$3:$G$3,0),FALSE)),"")</f>
        <v/>
      </c>
      <c r="CV463" t="str">
        <f>IF($CQ463="Y",IF(OR(AND($CS463="Employment",$CL463&lt;$CU463),AND($CS463="Revenue",$CK463&lt;$CT463)),"YES","NO"),"")</f>
        <v/>
      </c>
      <c r="CW463" s="90" t="str">
        <f>IF($CQ463="Y",INDEX('SBA Size Standards'!$N$3:$N$12,MATCH($CK463,'SBA Size Standards'!$O$3:$O$12,1)),"")</f>
        <v/>
      </c>
      <c r="CX463" s="122" t="s">
        <v>5014</v>
      </c>
      <c r="CY463" s="122">
        <f>INDEX('NM O&amp;G Production'!$P$3:$P$537,MATCH(CX463,'NM O&amp;G Production'!$Q$3:$Q$537,0))</f>
        <v>94</v>
      </c>
      <c r="CZ463" s="122" t="str">
        <f>INDEX('NM O&amp;G Production'!$O$3:$O$537,MATCH(CY463,'NM O&amp;G Production'!$P$3:$P$537,0))</f>
        <v>No</v>
      </c>
      <c r="DA463" s="127">
        <f>INDEX('NM O&amp;G Production'!$K$3:$O$537,MATCH($CY463,'NM O&amp;G Production'!$P$3:$P$537,0),MATCH(DA$2,'NM O&amp;G Production'!$K$2:$O$2,0))</f>
        <v>0</v>
      </c>
      <c r="DB463" s="127">
        <f>INDEX('NM O&amp;G Production'!$K$3:$O$537,MATCH($CY463,'NM O&amp;G Production'!$P$3:$P$537,0),MATCH(DB$2,'NM O&amp;G Production'!$K$2:$O$2,0))</f>
        <v>0</v>
      </c>
      <c r="DC463" s="127"/>
      <c r="DD463" s="127">
        <f>INDEX('NM O&amp;G Production'!$K$3:$O$537,MATCH($CY463,'NM O&amp;G Production'!$P$3:$P$537,0),MATCH(DD$2,'NM O&amp;G Production'!$K$2:$O$2,0))</f>
        <v>0</v>
      </c>
      <c r="DE463" s="127">
        <f>INDEX('NM O&amp;G Production'!$K$3:$O$537,MATCH($CY463,'NM O&amp;G Production'!$P$3:$P$537,0),MATCH(DE$2,'NM O&amp;G Production'!$K$2:$O$2,0))</f>
        <v>0</v>
      </c>
      <c r="DF463" s="258" t="e">
        <f>CK463/(DB463+DA463)</f>
        <v>#DIV/0!</v>
      </c>
      <c r="DG463" s="57">
        <f>DD463*(12/18)*1.06*'Oil and Gas Prices'!$C$18</f>
        <v>0</v>
      </c>
      <c r="DH463" s="284">
        <f>DE463*(12/18)*'Oil and Gas Prices'!$C$4</f>
        <v>0</v>
      </c>
      <c r="DI463" s="284"/>
      <c r="DJ463" s="57" t="e">
        <f>(DG463+DH463)/(DA463+DB463)</f>
        <v>#DIV/0!</v>
      </c>
      <c r="DK463" s="18" t="e">
        <f>CK463/DI463</f>
        <v>#DIV/0!</v>
      </c>
    </row>
    <row r="464" spans="1:115" s="21" customFormat="1" x14ac:dyDescent="0.25">
      <c r="A464" t="s">
        <v>1777</v>
      </c>
      <c r="B464" t="s">
        <v>1778</v>
      </c>
      <c r="C464"/>
      <c r="D464" t="s">
        <v>153</v>
      </c>
      <c r="E464" t="s">
        <v>80</v>
      </c>
      <c r="F464">
        <v>77060</v>
      </c>
      <c r="G464" t="s">
        <v>62</v>
      </c>
      <c r="H464"/>
      <c r="I464">
        <v>244</v>
      </c>
      <c r="J464"/>
      <c r="K464"/>
      <c r="L464"/>
      <c r="M464"/>
      <c r="N464"/>
      <c r="O464"/>
      <c r="P464"/>
      <c r="Q464"/>
      <c r="R464"/>
      <c r="S464"/>
      <c r="T464"/>
      <c r="U464"/>
      <c r="V464"/>
      <c r="W464"/>
      <c r="X464"/>
      <c r="Y464"/>
      <c r="Z464"/>
      <c r="AA464"/>
      <c r="AB464"/>
      <c r="AC464"/>
      <c r="AD464"/>
      <c r="AE464"/>
      <c r="AF464"/>
      <c r="AG464"/>
      <c r="AH464"/>
      <c r="AI464"/>
      <c r="AJ464"/>
      <c r="AK464"/>
      <c r="AL464"/>
      <c r="AM464"/>
      <c r="AN464"/>
      <c r="AO464"/>
      <c r="AP464"/>
      <c r="AQ464"/>
      <c r="AR464"/>
      <c r="AS464"/>
      <c r="AT464"/>
      <c r="AU464"/>
      <c r="AV464"/>
      <c r="AW464"/>
      <c r="AX464"/>
      <c r="AY464"/>
      <c r="AZ464"/>
      <c r="BA464"/>
      <c r="BB464"/>
      <c r="BC464"/>
      <c r="BD464"/>
      <c r="BE464"/>
      <c r="BF464"/>
      <c r="BG464"/>
      <c r="CK464"/>
      <c r="CL464"/>
      <c r="CN464" s="61">
        <f>IF($BH464="",1,COUNTIF($BH$3:$BH464,$BH464))</f>
        <v>1</v>
      </c>
      <c r="CO464"/>
      <c r="CP464" t="str">
        <f>IF($K464="Standard Match","Match",IF($K464="Name Only Match",IF($CO464="Yes","Match","Name Only Match"),"No Match"))</f>
        <v>No Match</v>
      </c>
      <c r="CQ464" s="35" t="str">
        <f>IF(AND(CP464="Match",CK464&gt;0,CL464&gt;0),"Y","N")</f>
        <v>N</v>
      </c>
      <c r="CR464"/>
      <c r="CS464" t="str">
        <f>IF($CQ464="Y",VLOOKUP($CM464,'SBA Size Standards'!$B$3:$G$57,MATCH('SBA Size Standards'!$G$3,'SBA Size Standards'!$B$3:$G$3,0),FALSE),"")</f>
        <v/>
      </c>
      <c r="CT464" s="60" t="str">
        <f>IF(CQ464="Y",IF($CS464="Employment","N/A",VLOOKUP($CM464,'SBA Size Standards'!$B$3:$G$57,MATCH('SBA Size Standards'!$E$3,'SBA Size Standards'!$B$3:$G$3,0),FALSE)),"")</f>
        <v/>
      </c>
      <c r="CU464" s="86" t="str">
        <f>IF($CQ464="Y",IF($CS464="Revenue","N/A",VLOOKUP($CM464,'SBA Size Standards'!$B$3:$G$57,MATCH('SBA Size Standards'!$F$3,'SBA Size Standards'!$B$3:$G$3,0),FALSE)),"")</f>
        <v/>
      </c>
      <c r="CV464" t="str">
        <f>IF($CQ464="Y",IF(OR(AND($CS464="Employment",$CL464&lt;$CU464),AND($CS464="Revenue",$CK464&lt;$CT464)),"YES","NO"),"")</f>
        <v/>
      </c>
      <c r="CW464" s="90" t="str">
        <f>IF($CQ464="Y",INDEX('SBA Size Standards'!$N$3:$N$12,MATCH($CK464,'SBA Size Standards'!$O$3:$O$12,1)),"")</f>
        <v/>
      </c>
      <c r="CX464" s="122" t="s">
        <v>5030</v>
      </c>
      <c r="CY464" s="122">
        <f>INDEX('NM O&amp;G Production'!$P$3:$P$537,MATCH(CX464,'NM O&amp;G Production'!$Q$3:$Q$537,0))</f>
        <v>244</v>
      </c>
      <c r="CZ464" s="122" t="str">
        <f>INDEX('NM O&amp;G Production'!$O$3:$O$537,MATCH(CY464,'NM O&amp;G Production'!$P$3:$P$537,0))</f>
        <v>No</v>
      </c>
      <c r="DA464" s="127">
        <f>INDEX('NM O&amp;G Production'!$K$3:$O$537,MATCH($CY464,'NM O&amp;G Production'!$P$3:$P$537,0),MATCH(DA$2,'NM O&amp;G Production'!$K$2:$O$2,0))</f>
        <v>0</v>
      </c>
      <c r="DB464" s="127">
        <f>INDEX('NM O&amp;G Production'!$K$3:$O$537,MATCH($CY464,'NM O&amp;G Production'!$P$3:$P$537,0),MATCH(DB$2,'NM O&amp;G Production'!$K$2:$O$2,0))</f>
        <v>0</v>
      </c>
      <c r="DC464" s="127"/>
      <c r="DD464" s="127">
        <f>INDEX('NM O&amp;G Production'!$K$3:$O$537,MATCH($CY464,'NM O&amp;G Production'!$P$3:$P$537,0),MATCH(DD$2,'NM O&amp;G Production'!$K$2:$O$2,0))</f>
        <v>0</v>
      </c>
      <c r="DE464" s="127">
        <f>INDEX('NM O&amp;G Production'!$K$3:$O$537,MATCH($CY464,'NM O&amp;G Production'!$P$3:$P$537,0),MATCH(DE$2,'NM O&amp;G Production'!$K$2:$O$2,0))</f>
        <v>0</v>
      </c>
      <c r="DF464" s="258" t="e">
        <f>CK464/(DB464+DA464)</f>
        <v>#DIV/0!</v>
      </c>
      <c r="DG464" s="57">
        <f>DD464*(12/18)*1.06*'Oil and Gas Prices'!$C$18</f>
        <v>0</v>
      </c>
      <c r="DH464" s="284">
        <f>DE464*(12/18)*'Oil and Gas Prices'!$C$4</f>
        <v>0</v>
      </c>
      <c r="DI464" s="284"/>
      <c r="DJ464" s="57" t="e">
        <f>(DG464+DH464)/(DA464+DB464)</f>
        <v>#DIV/0!</v>
      </c>
      <c r="DK464" s="18" t="e">
        <f>CK464/DI464</f>
        <v>#DIV/0!</v>
      </c>
    </row>
    <row r="465" spans="1:115" x14ac:dyDescent="0.25">
      <c r="A465" t="s">
        <v>1943</v>
      </c>
      <c r="B465" t="s">
        <v>964</v>
      </c>
      <c r="D465" t="s">
        <v>378</v>
      </c>
      <c r="E465" t="s">
        <v>80</v>
      </c>
      <c r="F465">
        <v>75240</v>
      </c>
      <c r="G465" t="s">
        <v>62</v>
      </c>
      <c r="I465">
        <v>270</v>
      </c>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c r="CL465"/>
      <c r="CM465" s="21"/>
      <c r="CN465" s="61">
        <f>IF($BH465="",1,COUNTIF($BH$3:$BH465,$BH465))</f>
        <v>1</v>
      </c>
      <c r="CP465" t="str">
        <f>IF($K465="Standard Match","Match",IF($K465="Name Only Match",IF($CO465="Yes","Match","Name Only Match"),"No Match"))</f>
        <v>No Match</v>
      </c>
      <c r="CQ465" s="35" t="str">
        <f>IF(AND(CP465="Match",CK465&gt;0,CL465&gt;0),"Y","N")</f>
        <v>N</v>
      </c>
      <c r="CS465" t="str">
        <f>IF($CQ465="Y",VLOOKUP($CM465,'SBA Size Standards'!$B$3:$G$57,MATCH('SBA Size Standards'!$G$3,'SBA Size Standards'!$B$3:$G$3,0),FALSE),"")</f>
        <v/>
      </c>
      <c r="CT465" s="60" t="str">
        <f>IF(CQ465="Y",IF($CS465="Employment","N/A",VLOOKUP($CM465,'SBA Size Standards'!$B$3:$G$57,MATCH('SBA Size Standards'!$E$3,'SBA Size Standards'!$B$3:$G$3,0),FALSE)),"")</f>
        <v/>
      </c>
      <c r="CU465" s="86" t="str">
        <f>IF($CQ465="Y",IF($CS465="Revenue","N/A",VLOOKUP($CM465,'SBA Size Standards'!$B$3:$G$57,MATCH('SBA Size Standards'!$F$3,'SBA Size Standards'!$B$3:$G$3,0),FALSE)),"")</f>
        <v/>
      </c>
      <c r="CV465" t="str">
        <f>IF($CQ465="Y",IF(OR(AND($CS465="Employment",$CL465&lt;$CU465),AND($CS465="Revenue",$CK465&lt;$CT465)),"YES","NO"),"")</f>
        <v/>
      </c>
      <c r="CW465" s="90" t="str">
        <f>IF($CQ465="Y",INDEX('SBA Size Standards'!$N$3:$N$12,MATCH($CK465,'SBA Size Standards'!$O$3:$O$12,1)),"")</f>
        <v/>
      </c>
      <c r="CX465" s="122" t="s">
        <v>5032</v>
      </c>
      <c r="CY465" s="122">
        <f>INDEX('NM O&amp;G Production'!$P$3:$P$537,MATCH(CX465,'NM O&amp;G Production'!$Q$3:$Q$537,0))</f>
        <v>270</v>
      </c>
      <c r="CZ465" s="122" t="str">
        <f>INDEX('NM O&amp;G Production'!$O$3:$O$537,MATCH(CY465,'NM O&amp;G Production'!$P$3:$P$537,0))</f>
        <v>No</v>
      </c>
      <c r="DA465" s="127">
        <f>INDEX('NM O&amp;G Production'!$K$3:$O$537,MATCH($CY465,'NM O&amp;G Production'!$P$3:$P$537,0),MATCH(DA$2,'NM O&amp;G Production'!$K$2:$O$2,0))</f>
        <v>0</v>
      </c>
      <c r="DB465" s="127">
        <f>INDEX('NM O&amp;G Production'!$K$3:$O$537,MATCH($CY465,'NM O&amp;G Production'!$P$3:$P$537,0),MATCH(DB$2,'NM O&amp;G Production'!$K$2:$O$2,0))</f>
        <v>0</v>
      </c>
      <c r="DC465" s="127"/>
      <c r="DD465" s="127">
        <f>INDEX('NM O&amp;G Production'!$K$3:$O$537,MATCH($CY465,'NM O&amp;G Production'!$P$3:$P$537,0),MATCH(DD$2,'NM O&amp;G Production'!$K$2:$O$2,0))</f>
        <v>0</v>
      </c>
      <c r="DE465" s="127">
        <f>INDEX('NM O&amp;G Production'!$K$3:$O$537,MATCH($CY465,'NM O&amp;G Production'!$P$3:$P$537,0),MATCH(DE$2,'NM O&amp;G Production'!$K$2:$O$2,0))</f>
        <v>0</v>
      </c>
      <c r="DF465" s="258" t="e">
        <f>CK465/(DB465+DA465)</f>
        <v>#DIV/0!</v>
      </c>
      <c r="DG465" s="57">
        <f>DD465*(12/18)*1.06*'Oil and Gas Prices'!$C$18</f>
        <v>0</v>
      </c>
      <c r="DH465" s="284">
        <f>DE465*(12/18)*'Oil and Gas Prices'!$C$4</f>
        <v>0</v>
      </c>
      <c r="DI465" s="284"/>
      <c r="DJ465" s="57" t="e">
        <f>(DG465+DH465)/(DA465+DB465)</f>
        <v>#DIV/0!</v>
      </c>
      <c r="DK465" s="18" t="e">
        <f>CK465/DI465</f>
        <v>#DIV/0!</v>
      </c>
    </row>
    <row r="466" spans="1:115" s="21" customFormat="1" x14ac:dyDescent="0.25">
      <c r="A466" t="s">
        <v>3325</v>
      </c>
      <c r="B466" t="s">
        <v>2391</v>
      </c>
      <c r="C466"/>
      <c r="D466" t="s">
        <v>112</v>
      </c>
      <c r="E466" t="s">
        <v>80</v>
      </c>
      <c r="F466">
        <v>77046</v>
      </c>
      <c r="G466" t="s">
        <v>62</v>
      </c>
      <c r="H466"/>
      <c r="I466">
        <v>491</v>
      </c>
      <c r="J466"/>
      <c r="K466"/>
      <c r="L466"/>
      <c r="M466"/>
      <c r="N466"/>
      <c r="O466"/>
      <c r="P466"/>
      <c r="Q466"/>
      <c r="R466"/>
      <c r="S466"/>
      <c r="T466"/>
      <c r="U466"/>
      <c r="V466"/>
      <c r="W466"/>
      <c r="X466"/>
      <c r="Y466"/>
      <c r="Z466"/>
      <c r="AA466"/>
      <c r="AB466"/>
      <c r="AC466"/>
      <c r="AD466"/>
      <c r="AE466"/>
      <c r="AF466"/>
      <c r="AG466"/>
      <c r="AH466"/>
      <c r="AI466"/>
      <c r="AJ466"/>
      <c r="AK466"/>
      <c r="AL466"/>
      <c r="AM466"/>
      <c r="AN466"/>
      <c r="AO466"/>
      <c r="AP466"/>
      <c r="AQ466"/>
      <c r="AR466"/>
      <c r="AS466"/>
      <c r="AT466"/>
      <c r="AU466"/>
      <c r="AV466"/>
      <c r="AW466"/>
      <c r="AX466"/>
      <c r="AY466"/>
      <c r="AZ466"/>
      <c r="BA466"/>
      <c r="BB466"/>
      <c r="BC466"/>
      <c r="BD466"/>
      <c r="BE466"/>
      <c r="BF466"/>
      <c r="BG466"/>
      <c r="CK466"/>
      <c r="CL466"/>
      <c r="CM466"/>
      <c r="CN466" s="35">
        <f>IF($BH466="",1,COUNTIF($BH$3:$BH466,$BH466))</f>
        <v>1</v>
      </c>
      <c r="CO466"/>
      <c r="CP466" t="str">
        <f>IF($K466="Standard Match","Match",IF($K466="Name Only Match",IF($CO466="Yes","Match","Name Only Match"),"No Match"))</f>
        <v>No Match</v>
      </c>
      <c r="CQ466" s="35" t="str">
        <f>IF(AND(CP466="Match",CK466&gt;0,CL466&gt;0),"Y","N")</f>
        <v>N</v>
      </c>
      <c r="CR466"/>
      <c r="CS466" t="str">
        <f>IF($CQ466="Y",VLOOKUP($CM466,'SBA Size Standards'!$B$3:$G$57,MATCH('SBA Size Standards'!$G$3,'SBA Size Standards'!$B$3:$G$3,0),FALSE),"")</f>
        <v/>
      </c>
      <c r="CT466" s="60" t="str">
        <f>IF(CQ466="Y",IF($CS466="Employment","N/A",VLOOKUP($CM466,'SBA Size Standards'!$B$3:$G$57,MATCH('SBA Size Standards'!$E$3,'SBA Size Standards'!$B$3:$G$3,0),FALSE)),"")</f>
        <v/>
      </c>
      <c r="CU466" s="86" t="str">
        <f>IF($CQ466="Y",IF($CS466="Revenue","N/A",VLOOKUP($CM466,'SBA Size Standards'!$B$3:$G$57,MATCH('SBA Size Standards'!$F$3,'SBA Size Standards'!$B$3:$G$3,0),FALSE)),"")</f>
        <v/>
      </c>
      <c r="CV466" t="str">
        <f>IF($CQ466="Y",IF(OR(AND($CS466="Employment",$CL466&lt;$CU466),AND($CS466="Revenue",$CK466&lt;$CT466)),"YES","NO"),"")</f>
        <v/>
      </c>
      <c r="CW466" s="90" t="str">
        <f>IF($CQ466="Y",INDEX('SBA Size Standards'!$N$3:$N$12,MATCH($CK466,'SBA Size Standards'!$O$3:$O$12,1)),"")</f>
        <v/>
      </c>
      <c r="CX466" s="122" t="s">
        <v>5052</v>
      </c>
      <c r="CY466" s="122">
        <f>INDEX('NM O&amp;G Production'!$P$3:$P$537,MATCH(CX466,'NM O&amp;G Production'!$Q$3:$Q$537,0))</f>
        <v>491</v>
      </c>
      <c r="CZ466" s="122" t="str">
        <f>INDEX('NM O&amp;G Production'!$O$3:$O$537,MATCH(CY466,'NM O&amp;G Production'!$P$3:$P$537,0))</f>
        <v>No</v>
      </c>
      <c r="DA466" s="127">
        <f>INDEX('NM O&amp;G Production'!$K$3:$O$537,MATCH($CY466,'NM O&amp;G Production'!$P$3:$P$537,0),MATCH(DA$2,'NM O&amp;G Production'!$K$2:$O$2,0))</f>
        <v>0</v>
      </c>
      <c r="DB466" s="127">
        <f>INDEX('NM O&amp;G Production'!$K$3:$O$537,MATCH($CY466,'NM O&amp;G Production'!$P$3:$P$537,0),MATCH(DB$2,'NM O&amp;G Production'!$K$2:$O$2,0))</f>
        <v>0</v>
      </c>
      <c r="DC466" s="127"/>
      <c r="DD466" s="127">
        <f>INDEX('NM O&amp;G Production'!$K$3:$O$537,MATCH($CY466,'NM O&amp;G Production'!$P$3:$P$537,0),MATCH(DD$2,'NM O&amp;G Production'!$K$2:$O$2,0))</f>
        <v>0</v>
      </c>
      <c r="DE466" s="127">
        <f>INDEX('NM O&amp;G Production'!$K$3:$O$537,MATCH($CY466,'NM O&amp;G Production'!$P$3:$P$537,0),MATCH(DE$2,'NM O&amp;G Production'!$K$2:$O$2,0))</f>
        <v>0</v>
      </c>
      <c r="DF466" s="258" t="e">
        <f>CK466/(DB466+DA466)</f>
        <v>#DIV/0!</v>
      </c>
      <c r="DG466" s="57">
        <f>DD466*(12/18)*1.06*'Oil and Gas Prices'!$C$18</f>
        <v>0</v>
      </c>
      <c r="DH466" s="284">
        <f>DE466*(12/18)*'Oil and Gas Prices'!$C$4</f>
        <v>0</v>
      </c>
      <c r="DI466" s="284"/>
      <c r="DJ466" s="57" t="e">
        <f>(DG466+DH466)/(DA466+DB466)</f>
        <v>#DIV/0!</v>
      </c>
      <c r="DK466" s="18" t="e">
        <f>CK466/DI466</f>
        <v>#DIV/0!</v>
      </c>
    </row>
    <row r="467" spans="1:115" s="21" customFormat="1" x14ac:dyDescent="0.25">
      <c r="A467" t="s">
        <v>3381</v>
      </c>
      <c r="B467" t="s">
        <v>3382</v>
      </c>
      <c r="C467" t="s">
        <v>3383</v>
      </c>
      <c r="D467" t="s">
        <v>153</v>
      </c>
      <c r="E467" t="s">
        <v>80</v>
      </c>
      <c r="F467">
        <v>79707</v>
      </c>
      <c r="G467" t="s">
        <v>62</v>
      </c>
      <c r="H467"/>
      <c r="I467">
        <v>500</v>
      </c>
      <c r="J467"/>
      <c r="K467"/>
      <c r="L467"/>
      <c r="M467"/>
      <c r="N467"/>
      <c r="O467"/>
      <c r="P467"/>
      <c r="Q467"/>
      <c r="R467"/>
      <c r="S467"/>
      <c r="T467"/>
      <c r="U467"/>
      <c r="V467"/>
      <c r="W467"/>
      <c r="X467"/>
      <c r="Y467"/>
      <c r="Z467"/>
      <c r="AA467"/>
      <c r="AB467"/>
      <c r="AC467"/>
      <c r="AD467"/>
      <c r="AE467"/>
      <c r="AF467"/>
      <c r="AG467"/>
      <c r="AH467"/>
      <c r="AI467"/>
      <c r="AJ467"/>
      <c r="AK467"/>
      <c r="AL467"/>
      <c r="AM467"/>
      <c r="AN467"/>
      <c r="AO467"/>
      <c r="AP467"/>
      <c r="AQ467"/>
      <c r="AR467"/>
      <c r="AS467"/>
      <c r="AT467"/>
      <c r="AU467"/>
      <c r="AV467"/>
      <c r="AW467"/>
      <c r="AX467"/>
      <c r="AY467"/>
      <c r="AZ467"/>
      <c r="BA467"/>
      <c r="BB467"/>
      <c r="BC467"/>
      <c r="BD467"/>
      <c r="BE467"/>
      <c r="BF467"/>
      <c r="BG467"/>
      <c r="CK467"/>
      <c r="CL467"/>
      <c r="CM467"/>
      <c r="CN467" s="35">
        <f>IF($BH467="",1,COUNTIF($BH$3:$BH467,$BH467))</f>
        <v>1</v>
      </c>
      <c r="CO467"/>
      <c r="CP467" t="str">
        <f>IF($K467="Standard Match","Match",IF($K467="Name Only Match",IF($CO467="Yes","Match","Name Only Match"),"No Match"))</f>
        <v>No Match</v>
      </c>
      <c r="CQ467" s="35" t="str">
        <f>IF(AND(CP467="Match",CK467&gt;0,CL467&gt;0),"Y","N")</f>
        <v>N</v>
      </c>
      <c r="CR467"/>
      <c r="CS467" t="str">
        <f>IF($CQ467="Y",VLOOKUP($CM467,'SBA Size Standards'!$B$3:$G$57,MATCH('SBA Size Standards'!$G$3,'SBA Size Standards'!$B$3:$G$3,0),FALSE),"")</f>
        <v/>
      </c>
      <c r="CT467" s="60" t="str">
        <f>IF(CQ467="Y",IF($CS467="Employment","N/A",VLOOKUP($CM467,'SBA Size Standards'!$B$3:$G$57,MATCH('SBA Size Standards'!$E$3,'SBA Size Standards'!$B$3:$G$3,0),FALSE)),"")</f>
        <v/>
      </c>
      <c r="CU467" s="86" t="str">
        <f>IF($CQ467="Y",IF($CS467="Revenue","N/A",VLOOKUP($CM467,'SBA Size Standards'!$B$3:$G$57,MATCH('SBA Size Standards'!$F$3,'SBA Size Standards'!$B$3:$G$3,0),FALSE)),"")</f>
        <v/>
      </c>
      <c r="CV467" t="str">
        <f>IF($CQ467="Y",IF(OR(AND($CS467="Employment",$CL467&lt;$CU467),AND($CS467="Revenue",$CK467&lt;$CT467)),"YES","NO"),"")</f>
        <v/>
      </c>
      <c r="CW467" s="90" t="str">
        <f>IF($CQ467="Y",INDEX('SBA Size Standards'!$N$3:$N$12,MATCH($CK467,'SBA Size Standards'!$O$3:$O$12,1)),"")</f>
        <v/>
      </c>
      <c r="CX467" s="122" t="s">
        <v>5053</v>
      </c>
      <c r="CY467" s="122">
        <f>INDEX('NM O&amp;G Production'!$P$3:$P$537,MATCH(CX467,'NM O&amp;G Production'!$Q$3:$Q$537,0))</f>
        <v>500</v>
      </c>
      <c r="CZ467" s="122" t="str">
        <f>INDEX('NM O&amp;G Production'!$O$3:$O$537,MATCH(CY467,'NM O&amp;G Production'!$P$3:$P$537,0))</f>
        <v>No</v>
      </c>
      <c r="DA467" s="127">
        <f>INDEX('NM O&amp;G Production'!$K$3:$O$537,MATCH($CY467,'NM O&amp;G Production'!$P$3:$P$537,0),MATCH(DA$2,'NM O&amp;G Production'!$K$2:$O$2,0))</f>
        <v>0</v>
      </c>
      <c r="DB467" s="127">
        <f>INDEX('NM O&amp;G Production'!$K$3:$O$537,MATCH($CY467,'NM O&amp;G Production'!$P$3:$P$537,0),MATCH(DB$2,'NM O&amp;G Production'!$K$2:$O$2,0))</f>
        <v>0</v>
      </c>
      <c r="DC467" s="127"/>
      <c r="DD467" s="127">
        <f>INDEX('NM O&amp;G Production'!$K$3:$O$537,MATCH($CY467,'NM O&amp;G Production'!$P$3:$P$537,0),MATCH(DD$2,'NM O&amp;G Production'!$K$2:$O$2,0))</f>
        <v>0</v>
      </c>
      <c r="DE467" s="127">
        <f>INDEX('NM O&amp;G Production'!$K$3:$O$537,MATCH($CY467,'NM O&amp;G Production'!$P$3:$P$537,0),MATCH(DE$2,'NM O&amp;G Production'!$K$2:$O$2,0))</f>
        <v>0</v>
      </c>
      <c r="DF467" s="259" t="e">
        <f>CK467/(DB467+DA467)</f>
        <v>#DIV/0!</v>
      </c>
      <c r="DG467" s="57">
        <f>DD467*(12/18)*1.06*'Oil and Gas Prices'!$C$18</f>
        <v>0</v>
      </c>
      <c r="DH467" s="284">
        <f>DE467*(12/18)*'Oil and Gas Prices'!$C$4</f>
        <v>0</v>
      </c>
      <c r="DI467" s="284"/>
      <c r="DJ467" s="57" t="e">
        <f>(DG467+DH467)/(DA467+DB467)</f>
        <v>#DIV/0!</v>
      </c>
      <c r="DK467" s="18" t="e">
        <f>CK467/DI467</f>
        <v>#DIV/0!</v>
      </c>
    </row>
    <row r="468" spans="1:115" s="21" customFormat="1" x14ac:dyDescent="0.25">
      <c r="A468" t="s">
        <v>3602</v>
      </c>
      <c r="B468" t="s">
        <v>3603</v>
      </c>
      <c r="C468"/>
      <c r="D468" t="s">
        <v>153</v>
      </c>
      <c r="E468" t="s">
        <v>80</v>
      </c>
      <c r="F468">
        <v>79707</v>
      </c>
      <c r="G468" t="s">
        <v>62</v>
      </c>
      <c r="H468"/>
      <c r="I468">
        <v>531</v>
      </c>
      <c r="J468"/>
      <c r="K468"/>
      <c r="L468"/>
      <c r="M468"/>
      <c r="N468"/>
      <c r="O468"/>
      <c r="P468"/>
      <c r="Q468"/>
      <c r="R468"/>
      <c r="S468"/>
      <c r="T468"/>
      <c r="U468"/>
      <c r="V468"/>
      <c r="W468"/>
      <c r="X468"/>
      <c r="Y468"/>
      <c r="Z468"/>
      <c r="AA468"/>
      <c r="AB468"/>
      <c r="AC468"/>
      <c r="AD468"/>
      <c r="AE468"/>
      <c r="AF468"/>
      <c r="AG468"/>
      <c r="AH468"/>
      <c r="AI468"/>
      <c r="AJ468"/>
      <c r="AK468"/>
      <c r="AL468"/>
      <c r="AM468"/>
      <c r="AN468"/>
      <c r="AO468"/>
      <c r="AP468"/>
      <c r="AQ468"/>
      <c r="AR468"/>
      <c r="AS468"/>
      <c r="AT468"/>
      <c r="AU468"/>
      <c r="AV468"/>
      <c r="AW468"/>
      <c r="AX468"/>
      <c r="AY468"/>
      <c r="AZ468"/>
      <c r="BA468"/>
      <c r="BB468"/>
      <c r="BC468"/>
      <c r="BD468"/>
      <c r="BE468"/>
      <c r="BF468"/>
      <c r="BG468"/>
      <c r="BH468" s="4"/>
      <c r="BI468" s="4"/>
      <c r="BJ468" s="4"/>
      <c r="BK468" s="4"/>
      <c r="BL468" s="4"/>
      <c r="BM468" s="4"/>
      <c r="BN468" s="4"/>
      <c r="BO468" s="4"/>
      <c r="BP468" s="4"/>
      <c r="BQ468" s="4"/>
      <c r="BR468" s="4"/>
      <c r="BS468" s="4"/>
      <c r="BT468" s="4"/>
      <c r="BU468" s="4"/>
      <c r="BV468" s="4"/>
      <c r="BW468" s="4"/>
      <c r="BX468" s="4"/>
      <c r="BY468" s="4"/>
      <c r="BZ468" s="4"/>
      <c r="CA468" s="4"/>
      <c r="CB468" s="4"/>
      <c r="CC468" s="4"/>
      <c r="CD468" s="4"/>
      <c r="CE468" s="4"/>
      <c r="CF468" s="4"/>
      <c r="CG468" s="4"/>
      <c r="CH468" s="4"/>
      <c r="CI468" s="4"/>
      <c r="CJ468" s="4"/>
      <c r="CK468" s="282"/>
      <c r="CL468" s="282"/>
      <c r="CM468" s="282"/>
      <c r="CN468" s="283">
        <f>IF($BH468="",1,COUNTIF($BH$3:$BH468,$BH468))</f>
        <v>1</v>
      </c>
      <c r="CO468"/>
      <c r="CP468" t="str">
        <f>IF($K468="Standard Match","Match",IF($K468="Name Only Match",IF($CO468="Yes","Match","Name Only Match"),"No Match"))</f>
        <v>No Match</v>
      </c>
      <c r="CQ468" s="35" t="str">
        <f>IF(AND(CP468="Match",CK468&gt;0,CL468&gt;0),"Y","N")</f>
        <v>N</v>
      </c>
      <c r="CR468"/>
      <c r="CS468" t="str">
        <f>IF($CQ468="Y",VLOOKUP($CM468,'SBA Size Standards'!$B$3:$G$57,MATCH('SBA Size Standards'!$G$3,'SBA Size Standards'!$B$3:$G$3,0),FALSE),"")</f>
        <v/>
      </c>
      <c r="CT468" s="60" t="str">
        <f>IF(CQ468="Y",IF($CS468="Employment","N/A",VLOOKUP($CM468,'SBA Size Standards'!$B$3:$G$57,MATCH('SBA Size Standards'!$E$3,'SBA Size Standards'!$B$3:$G$3,0),FALSE)),"")</f>
        <v/>
      </c>
      <c r="CU468" s="86" t="str">
        <f>IF($CQ468="Y",IF($CS468="Revenue","N/A",VLOOKUP($CM468,'SBA Size Standards'!$B$3:$G$57,MATCH('SBA Size Standards'!$F$3,'SBA Size Standards'!$B$3:$G$3,0),FALSE)),"")</f>
        <v/>
      </c>
      <c r="CV468" t="str">
        <f>IF($CQ468="Y",IF(OR(AND($CS468="Employment",$CL468&lt;$CU468),AND($CS468="Revenue",$CK468&lt;$CT468)),"YES","NO"),"")</f>
        <v/>
      </c>
      <c r="CW468" s="90" t="str">
        <f>IF($CQ468="Y",INDEX('SBA Size Standards'!$N$3:$N$12,MATCH($CK468,'SBA Size Standards'!$O$3:$O$12,1)),"")</f>
        <v/>
      </c>
      <c r="CX468" s="122" t="s">
        <v>5056</v>
      </c>
      <c r="CY468" s="122">
        <f>INDEX('NM O&amp;G Production'!$P$3:$P$537,MATCH(CX468,'NM O&amp;G Production'!$Q$3:$Q$537,0))</f>
        <v>531</v>
      </c>
      <c r="CZ468" s="122" t="str">
        <f>INDEX('NM O&amp;G Production'!$O$3:$O$537,MATCH(CY468,'NM O&amp;G Production'!$P$3:$P$537,0))</f>
        <v>Yes</v>
      </c>
      <c r="DA468" s="127">
        <f>INDEX('NM O&amp;G Production'!$K$3:$O$537,MATCH($CY468,'NM O&amp;G Production'!$P$3:$P$537,0),MATCH(DA$2,'NM O&amp;G Production'!$K$2:$O$2,0))</f>
        <v>312</v>
      </c>
      <c r="DB468" s="127">
        <f>INDEX('NM O&amp;G Production'!$K$3:$O$537,MATCH($CY468,'NM O&amp;G Production'!$P$3:$P$537,0),MATCH(DB$2,'NM O&amp;G Production'!$K$2:$O$2,0))</f>
        <v>129</v>
      </c>
      <c r="DC468" s="127"/>
      <c r="DD468" s="127">
        <f>INDEX('NM O&amp;G Production'!$K$3:$O$537,MATCH($CY468,'NM O&amp;G Production'!$P$3:$P$537,0),MATCH(DD$2,'NM O&amp;G Production'!$K$2:$O$2,0))</f>
        <v>51211785</v>
      </c>
      <c r="DE468" s="127">
        <f>INDEX('NM O&amp;G Production'!$K$3:$O$537,MATCH($CY468,'NM O&amp;G Production'!$P$3:$P$537,0),MATCH(DE$2,'NM O&amp;G Production'!$K$2:$O$2,0))</f>
        <v>13572159</v>
      </c>
      <c r="DF468" s="258">
        <f>CK468/(DB468+DA468)</f>
        <v>0</v>
      </c>
      <c r="DG468" s="57">
        <f>DD468*(12/18)*1.06*'Oil and Gas Prices'!$C$18</f>
        <v>86493290.746000007</v>
      </c>
      <c r="DH468" s="284">
        <f>DE468*(12/18)*'Oil and Gas Prices'!$C$4</f>
        <v>407164770</v>
      </c>
      <c r="DI468" s="284">
        <f>DG468+DH468</f>
        <v>493658060.74599999</v>
      </c>
      <c r="DJ468" s="57">
        <f>(DG468+DH468)/(DA468+DB468)</f>
        <v>1119406.0334376418</v>
      </c>
      <c r="DK468" s="18">
        <f>CK468/DI468</f>
        <v>0</v>
      </c>
    </row>
    <row r="469" spans="1:115" s="21" customFormat="1" x14ac:dyDescent="0.25">
      <c r="A469" t="s">
        <v>815</v>
      </c>
      <c r="B469" t="s">
        <v>816</v>
      </c>
      <c r="C469"/>
      <c r="D469" t="s">
        <v>112</v>
      </c>
      <c r="E469" t="s">
        <v>80</v>
      </c>
      <c r="F469">
        <v>77057</v>
      </c>
      <c r="G469" t="s">
        <v>62</v>
      </c>
      <c r="H469"/>
      <c r="I469">
        <v>103</v>
      </c>
      <c r="J469"/>
      <c r="K469"/>
      <c r="L469"/>
      <c r="M469"/>
      <c r="N469"/>
      <c r="P469"/>
      <c r="Q469"/>
      <c r="R469"/>
      <c r="S469"/>
      <c r="T469"/>
      <c r="U469"/>
      <c r="V469"/>
      <c r="W469"/>
      <c r="X469"/>
      <c r="Y469"/>
      <c r="Z469"/>
      <c r="AA469"/>
      <c r="AB469"/>
      <c r="AC469"/>
      <c r="AD469"/>
      <c r="AE469"/>
      <c r="AF469"/>
      <c r="AG469"/>
      <c r="AH469"/>
      <c r="AI469"/>
      <c r="AJ469"/>
      <c r="AK469"/>
      <c r="AL469"/>
      <c r="AM469"/>
      <c r="AN469"/>
      <c r="AO469"/>
      <c r="AP469"/>
      <c r="AQ469"/>
      <c r="AR469"/>
      <c r="AS469"/>
      <c r="AT469"/>
      <c r="AU469"/>
      <c r="AV469"/>
      <c r="AW469"/>
      <c r="AX469"/>
      <c r="AY469"/>
      <c r="AZ469"/>
      <c r="BA469"/>
      <c r="BB469"/>
      <c r="BC469"/>
      <c r="BD469"/>
      <c r="BE469"/>
      <c r="BF469"/>
      <c r="BG469"/>
      <c r="CK469"/>
      <c r="CL469"/>
      <c r="CN469" s="61">
        <f>IF($BH469="",1,COUNTIF($BH$3:$BH469,$BH469))</f>
        <v>1</v>
      </c>
      <c r="CO469"/>
      <c r="CP469" t="str">
        <f>IF($K469="Standard Match","Match",IF($K469="Name Only Match",IF($CO469="Yes","Match","Name Only Match"),"No Match"))</f>
        <v>No Match</v>
      </c>
      <c r="CQ469" s="35" t="str">
        <f>IF(AND(CP469="Match",CK469&gt;0,CL469&gt;0),"Y","N")</f>
        <v>N</v>
      </c>
      <c r="CR469"/>
      <c r="CS469" t="str">
        <f>IF($CQ469="Y",VLOOKUP($CM469,'SBA Size Standards'!$B$3:$G$57,MATCH('SBA Size Standards'!$G$3,'SBA Size Standards'!$B$3:$G$3,0),FALSE),"")</f>
        <v/>
      </c>
      <c r="CT469" s="60" t="str">
        <f>IF(CQ469="Y",IF($CS469="Employment","N/A",VLOOKUP($CM469,'SBA Size Standards'!$B$3:$G$57,MATCH('SBA Size Standards'!$E$3,'SBA Size Standards'!$B$3:$G$3,0),FALSE)),"")</f>
        <v/>
      </c>
      <c r="CU469" s="86" t="str">
        <f>IF($CQ469="Y",IF($CS469="Revenue","N/A",VLOOKUP($CM469,'SBA Size Standards'!$B$3:$G$57,MATCH('SBA Size Standards'!$F$3,'SBA Size Standards'!$B$3:$G$3,0),FALSE)),"")</f>
        <v/>
      </c>
      <c r="CV469" t="str">
        <f>IF($CQ469="Y",IF(OR(AND($CS469="Employment",$CL469&lt;$CU469),AND($CS469="Revenue",$CK469&lt;$CT469)),"YES","NO"),"")</f>
        <v/>
      </c>
      <c r="CW469" s="90" t="str">
        <f>IF($CQ469="Y",INDEX('SBA Size Standards'!$N$3:$N$12,MATCH($CK469,'SBA Size Standards'!$O$3:$O$12,1)),"")</f>
        <v/>
      </c>
      <c r="CX469" s="122" t="s">
        <v>5015</v>
      </c>
      <c r="CY469" s="122">
        <f>INDEX('NM O&amp;G Production'!$P$3:$P$537,MATCH(CX469,'NM O&amp;G Production'!$Q$3:$Q$537,0))</f>
        <v>103</v>
      </c>
      <c r="CZ469" s="122" t="str">
        <f>INDEX('NM O&amp;G Production'!$O$3:$O$537,MATCH(CY469,'NM O&amp;G Production'!$P$3:$P$537,0))</f>
        <v>Yes</v>
      </c>
      <c r="DA469" s="127">
        <f>INDEX('NM O&amp;G Production'!$K$3:$O$537,MATCH($CY469,'NM O&amp;G Production'!$P$3:$P$537,0),MATCH(DA$2,'NM O&amp;G Production'!$K$2:$O$2,0))</f>
        <v>1</v>
      </c>
      <c r="DB469" s="127">
        <f>INDEX('NM O&amp;G Production'!$K$3:$O$537,MATCH($CY469,'NM O&amp;G Production'!$P$3:$P$537,0),MATCH(DB$2,'NM O&amp;G Production'!$K$2:$O$2,0))</f>
        <v>0</v>
      </c>
      <c r="DC469" s="127"/>
      <c r="DD469" s="127">
        <f>INDEX('NM O&amp;G Production'!$K$3:$O$537,MATCH($CY469,'NM O&amp;G Production'!$P$3:$P$537,0),MATCH(DD$2,'NM O&amp;G Production'!$K$2:$O$2,0))</f>
        <v>0</v>
      </c>
      <c r="DE469" s="127">
        <f>INDEX('NM O&amp;G Production'!$K$3:$O$537,MATCH($CY469,'NM O&amp;G Production'!$P$3:$P$537,0),MATCH(DE$2,'NM O&amp;G Production'!$K$2:$O$2,0))</f>
        <v>13105</v>
      </c>
      <c r="DF469" s="258">
        <f>CK469/(DB469+DA469)</f>
        <v>0</v>
      </c>
      <c r="DG469" s="57">
        <f>DD469*(12/18)*1.06*'Oil and Gas Prices'!$C$18</f>
        <v>0</v>
      </c>
      <c r="DH469" s="284">
        <f>DE469*(12/18)*'Oil and Gas Prices'!$C$4</f>
        <v>393150</v>
      </c>
      <c r="DI469" s="284">
        <f>DG469+DH469</f>
        <v>393150</v>
      </c>
      <c r="DJ469" s="57">
        <f>(DG469+DH469)/(DA469+DB469)</f>
        <v>393150</v>
      </c>
      <c r="DK469" s="18">
        <f>CK469/DI469</f>
        <v>0</v>
      </c>
    </row>
    <row r="470" spans="1:115" s="21" customFormat="1" x14ac:dyDescent="0.25">
      <c r="A470" t="s">
        <v>1706</v>
      </c>
      <c r="B470" t="s">
        <v>1707</v>
      </c>
      <c r="C470"/>
      <c r="D470" t="s">
        <v>1100</v>
      </c>
      <c r="E470" t="s">
        <v>80</v>
      </c>
      <c r="F470">
        <v>79408</v>
      </c>
      <c r="G470" t="s">
        <v>62</v>
      </c>
      <c r="H470"/>
      <c r="I470">
        <v>234</v>
      </c>
      <c r="J470"/>
      <c r="K470"/>
      <c r="L470"/>
      <c r="M470"/>
      <c r="N470"/>
      <c r="O470"/>
      <c r="P470"/>
      <c r="Q470"/>
      <c r="R470"/>
      <c r="S470"/>
      <c r="T470"/>
      <c r="U470"/>
      <c r="V470"/>
      <c r="W470"/>
      <c r="X470"/>
      <c r="Y470"/>
      <c r="Z470"/>
      <c r="AA470"/>
      <c r="AB470"/>
      <c r="AC470"/>
      <c r="AD470"/>
      <c r="AE470"/>
      <c r="AF470"/>
      <c r="AG470"/>
      <c r="AH470"/>
      <c r="AI470"/>
      <c r="AJ470"/>
      <c r="AK470"/>
      <c r="AL470"/>
      <c r="AM470"/>
      <c r="AN470"/>
      <c r="AO470"/>
      <c r="AP470"/>
      <c r="AQ470"/>
      <c r="AR470"/>
      <c r="AS470"/>
      <c r="AT470"/>
      <c r="AU470"/>
      <c r="AV470"/>
      <c r="AW470"/>
      <c r="AX470"/>
      <c r="AY470"/>
      <c r="AZ470"/>
      <c r="BA470"/>
      <c r="BB470"/>
      <c r="BC470"/>
      <c r="BD470"/>
      <c r="BE470"/>
      <c r="BF470"/>
      <c r="BG470"/>
      <c r="CK470"/>
      <c r="CL470"/>
      <c r="CN470" s="61">
        <f>IF($BH470="",1,COUNTIF($BH$3:$BH470,$BH470))</f>
        <v>1</v>
      </c>
      <c r="CO470"/>
      <c r="CP470" t="str">
        <f>IF($K470="Standard Match","Match",IF($K470="Name Only Match",IF($CO470="Yes","Match","Name Only Match"),"No Match"))</f>
        <v>No Match</v>
      </c>
      <c r="CQ470" s="35" t="str">
        <f>IF(AND(CP470="Match",CK470&gt;0,CL470&gt;0),"Y","N")</f>
        <v>N</v>
      </c>
      <c r="CR470"/>
      <c r="CS470" t="str">
        <f>IF($CQ470="Y",VLOOKUP($CM470,'SBA Size Standards'!$B$3:$G$57,MATCH('SBA Size Standards'!$G$3,'SBA Size Standards'!$B$3:$G$3,0),FALSE),"")</f>
        <v/>
      </c>
      <c r="CT470" s="60" t="str">
        <f>IF(CQ470="Y",IF($CS470="Employment","N/A",VLOOKUP($CM470,'SBA Size Standards'!$B$3:$G$57,MATCH('SBA Size Standards'!$E$3,'SBA Size Standards'!$B$3:$G$3,0),FALSE)),"")</f>
        <v/>
      </c>
      <c r="CU470" s="86" t="str">
        <f>IF($CQ470="Y",IF($CS470="Revenue","N/A",VLOOKUP($CM470,'SBA Size Standards'!$B$3:$G$57,MATCH('SBA Size Standards'!$F$3,'SBA Size Standards'!$B$3:$G$3,0),FALSE)),"")</f>
        <v/>
      </c>
      <c r="CV470" t="str">
        <f>IF($CQ470="Y",IF(OR(AND($CS470="Employment",$CL470&lt;$CU470),AND($CS470="Revenue",$CK470&lt;$CT470)),"YES","NO"),"")</f>
        <v/>
      </c>
      <c r="CW470" s="90" t="str">
        <f>IF($CQ470="Y",INDEX('SBA Size Standards'!$N$3:$N$12,MATCH($CK470,'SBA Size Standards'!$O$3:$O$12,1)),"")</f>
        <v/>
      </c>
      <c r="CX470" s="122" t="s">
        <v>5028</v>
      </c>
      <c r="CY470" s="122">
        <f>INDEX('NM O&amp;G Production'!$P$3:$P$537,MATCH(CX470,'NM O&amp;G Production'!$Q$3:$Q$537,0))</f>
        <v>234</v>
      </c>
      <c r="CZ470" s="122" t="str">
        <f>INDEX('NM O&amp;G Production'!$O$3:$O$537,MATCH(CY470,'NM O&amp;G Production'!$P$3:$P$537,0))</f>
        <v>Yes</v>
      </c>
      <c r="DA470" s="127">
        <f>INDEX('NM O&amp;G Production'!$K$3:$O$537,MATCH($CY470,'NM O&amp;G Production'!$P$3:$P$537,0),MATCH(DA$2,'NM O&amp;G Production'!$K$2:$O$2,0))</f>
        <v>0</v>
      </c>
      <c r="DB470" s="127">
        <f>INDEX('NM O&amp;G Production'!$K$3:$O$537,MATCH($CY470,'NM O&amp;G Production'!$P$3:$P$537,0),MATCH(DB$2,'NM O&amp;G Production'!$K$2:$O$2,0))</f>
        <v>8</v>
      </c>
      <c r="DC470" s="127"/>
      <c r="DD470" s="127">
        <f>INDEX('NM O&amp;G Production'!$K$3:$O$537,MATCH($CY470,'NM O&amp;G Production'!$P$3:$P$537,0),MATCH(DD$2,'NM O&amp;G Production'!$K$2:$O$2,0))</f>
        <v>130302</v>
      </c>
      <c r="DE470" s="127">
        <f>INDEX('NM O&amp;G Production'!$K$3:$O$537,MATCH($CY470,'NM O&amp;G Production'!$P$3:$P$537,0),MATCH(DE$2,'NM O&amp;G Production'!$K$2:$O$2,0))</f>
        <v>11092</v>
      </c>
      <c r="DF470" s="258">
        <f>CK470/(DB470+DA470)</f>
        <v>0</v>
      </c>
      <c r="DG470" s="57">
        <f>DD470*(12/18)*1.06*'Oil and Gas Prices'!$C$18</f>
        <v>220071.39120000001</v>
      </c>
      <c r="DH470" s="284">
        <f>DE470*(12/18)*'Oil and Gas Prices'!$C$4</f>
        <v>332760</v>
      </c>
      <c r="DI470" s="284">
        <f>DG470+DH470</f>
        <v>552831.39119999995</v>
      </c>
      <c r="DJ470" s="57">
        <f>(DG470+DH470)/(DA470+DB470)</f>
        <v>69103.923899999994</v>
      </c>
      <c r="DK470" s="18">
        <f>CK470/DI470</f>
        <v>0</v>
      </c>
    </row>
    <row r="471" spans="1:115" x14ac:dyDescent="0.25">
      <c r="A471" t="s">
        <v>1450</v>
      </c>
      <c r="B471" t="s">
        <v>1451</v>
      </c>
      <c r="D471" t="s">
        <v>1452</v>
      </c>
      <c r="E471" t="s">
        <v>80</v>
      </c>
      <c r="F471">
        <v>75773</v>
      </c>
      <c r="G471" t="s">
        <v>62</v>
      </c>
      <c r="I471">
        <v>194</v>
      </c>
      <c r="O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c r="CL471"/>
      <c r="CM471" s="21"/>
      <c r="CN471" s="61">
        <f>IF($BH471="",1,COUNTIF($BH$3:$BH471,$BH471))</f>
        <v>1</v>
      </c>
      <c r="CP471" t="str">
        <f>IF($K471="Standard Match","Match",IF($K471="Name Only Match",IF($CO471="Yes","Match","Name Only Match"),"No Match"))</f>
        <v>No Match</v>
      </c>
      <c r="CQ471" s="35" t="str">
        <f>IF(AND(CP471="Match",CK471&gt;0,CL471&gt;0),"Y","N")</f>
        <v>N</v>
      </c>
      <c r="CS471" t="str">
        <f>IF($CQ471="Y",VLOOKUP($CM471,'SBA Size Standards'!$B$3:$G$57,MATCH('SBA Size Standards'!$G$3,'SBA Size Standards'!$B$3:$G$3,0),FALSE),"")</f>
        <v/>
      </c>
      <c r="CT471" s="60" t="str">
        <f>IF(CQ471="Y",IF($CS471="Employment","N/A",VLOOKUP($CM471,'SBA Size Standards'!$B$3:$G$57,MATCH('SBA Size Standards'!$E$3,'SBA Size Standards'!$B$3:$G$3,0),FALSE)),"")</f>
        <v/>
      </c>
      <c r="CU471" s="86" t="str">
        <f>IF($CQ471="Y",IF($CS471="Revenue","N/A",VLOOKUP($CM471,'SBA Size Standards'!$B$3:$G$57,MATCH('SBA Size Standards'!$F$3,'SBA Size Standards'!$B$3:$G$3,0),FALSE)),"")</f>
        <v/>
      </c>
      <c r="CV471" t="str">
        <f>IF($CQ471="Y",IF(OR(AND($CS471="Employment",$CL471&lt;$CU471),AND($CS471="Revenue",$CK471&lt;$CT471)),"YES","NO"),"")</f>
        <v/>
      </c>
      <c r="CW471" s="90" t="str">
        <f>IF($CQ471="Y",INDEX('SBA Size Standards'!$N$3:$N$12,MATCH($CK471,'SBA Size Standards'!$O$3:$O$12,1)),"")</f>
        <v/>
      </c>
      <c r="CX471" s="122" t="s">
        <v>5022</v>
      </c>
      <c r="CY471" s="122">
        <f>INDEX('NM O&amp;G Production'!$P$3:$P$537,MATCH(CX471,'NM O&amp;G Production'!$Q$3:$Q$537,0))</f>
        <v>194</v>
      </c>
      <c r="CZ471" s="122" t="str">
        <f>INDEX('NM O&amp;G Production'!$O$3:$O$537,MATCH(CY471,'NM O&amp;G Production'!$P$3:$P$537,0))</f>
        <v>Yes</v>
      </c>
      <c r="DA471" s="127">
        <f>INDEX('NM O&amp;G Production'!$K$3:$O$537,MATCH($CY471,'NM O&amp;G Production'!$P$3:$P$537,0),MATCH(DA$2,'NM O&amp;G Production'!$K$2:$O$2,0))</f>
        <v>0</v>
      </c>
      <c r="DB471" s="127">
        <f>INDEX('NM O&amp;G Production'!$K$3:$O$537,MATCH($CY471,'NM O&amp;G Production'!$P$3:$P$537,0),MATCH(DB$2,'NM O&amp;G Production'!$K$2:$O$2,0))</f>
        <v>1</v>
      </c>
      <c r="DC471" s="127"/>
      <c r="DD471" s="127">
        <f>INDEX('NM O&amp;G Production'!$K$3:$O$537,MATCH($CY471,'NM O&amp;G Production'!$P$3:$P$537,0),MATCH(DD$2,'NM O&amp;G Production'!$K$2:$O$2,0))</f>
        <v>0</v>
      </c>
      <c r="DE471" s="127">
        <f>INDEX('NM O&amp;G Production'!$K$3:$O$537,MATCH($CY471,'NM O&amp;G Production'!$P$3:$P$537,0),MATCH(DE$2,'NM O&amp;G Production'!$K$2:$O$2,0))</f>
        <v>2190</v>
      </c>
      <c r="DF471" s="258">
        <f>CK471/(DB471+DA471)</f>
        <v>0</v>
      </c>
      <c r="DG471" s="57">
        <f>DD471*(12/18)*1.06*'Oil and Gas Prices'!$C$18</f>
        <v>0</v>
      </c>
      <c r="DH471" s="284">
        <f>DE471*(12/18)*'Oil and Gas Prices'!$C$4</f>
        <v>65700</v>
      </c>
      <c r="DI471" s="284">
        <f>DG471+DH471</f>
        <v>65700</v>
      </c>
      <c r="DJ471" s="57">
        <f>(DG471+DH471)/(DA471+DB471)</f>
        <v>65700</v>
      </c>
      <c r="DK471" s="18">
        <f>CK471/DI471</f>
        <v>0</v>
      </c>
    </row>
    <row r="472" spans="1:115" s="21" customFormat="1" x14ac:dyDescent="0.25">
      <c r="A472" t="s">
        <v>292</v>
      </c>
      <c r="B472" t="s">
        <v>293</v>
      </c>
      <c r="C472"/>
      <c r="D472" t="s">
        <v>206</v>
      </c>
      <c r="E472" t="s">
        <v>84</v>
      </c>
      <c r="F472">
        <v>88240</v>
      </c>
      <c r="G472" t="s">
        <v>62</v>
      </c>
      <c r="H472"/>
      <c r="I472">
        <v>28</v>
      </c>
      <c r="J472"/>
      <c r="K472"/>
      <c r="L472"/>
      <c r="M472"/>
      <c r="N472"/>
      <c r="P472"/>
      <c r="Q472"/>
      <c r="R472"/>
      <c r="S472"/>
      <c r="T472"/>
      <c r="U472"/>
      <c r="V472"/>
      <c r="W472"/>
      <c r="X472"/>
      <c r="Y472"/>
      <c r="Z472"/>
      <c r="AA472"/>
      <c r="AB472"/>
      <c r="AC472"/>
      <c r="AD472"/>
      <c r="AE472"/>
      <c r="AF472"/>
      <c r="AG472"/>
      <c r="AH472"/>
      <c r="AI472"/>
      <c r="AJ472"/>
      <c r="AK472"/>
      <c r="AL472"/>
      <c r="AM472"/>
      <c r="AN472"/>
      <c r="AO472"/>
      <c r="AP472"/>
      <c r="AQ472"/>
      <c r="AR472"/>
      <c r="AS472"/>
      <c r="AT472"/>
      <c r="AU472"/>
      <c r="AV472"/>
      <c r="AW472"/>
      <c r="AX472"/>
      <c r="AY472"/>
      <c r="AZ472"/>
      <c r="BA472"/>
      <c r="BB472"/>
      <c r="BC472"/>
      <c r="BD472"/>
      <c r="BE472"/>
      <c r="BF472"/>
      <c r="BG472"/>
      <c r="CK472"/>
      <c r="CL472"/>
      <c r="CN472" s="61">
        <f>IF($BH472="",1,COUNTIF($BH$3:$BH472,$BH472))</f>
        <v>1</v>
      </c>
      <c r="CO472"/>
      <c r="CP472" t="str">
        <f>IF($K472="Standard Match","Match",IF($K472="Name Only Match",IF($CO472="Yes","Match","Name Only Match"),"No Match"))</f>
        <v>No Match</v>
      </c>
      <c r="CQ472" s="35" t="str">
        <f>IF(AND(CP472="Match",CK472&gt;0,CL472&gt;0),"Y","N")</f>
        <v>N</v>
      </c>
      <c r="CR472"/>
      <c r="CS472" t="str">
        <f>IF($CQ472="Y",VLOOKUP($CM472,'SBA Size Standards'!$B$3:$G$57,MATCH('SBA Size Standards'!$G$3,'SBA Size Standards'!$B$3:$G$3,0),FALSE),"")</f>
        <v/>
      </c>
      <c r="CT472" s="60" t="str">
        <f>IF(CQ472="Y",IF($CS472="Employment","N/A",VLOOKUP($CM472,'SBA Size Standards'!$B$3:$G$57,MATCH('SBA Size Standards'!$E$3,'SBA Size Standards'!$B$3:$G$3,0),FALSE)),"")</f>
        <v/>
      </c>
      <c r="CU472" s="86" t="str">
        <f>IF($CQ472="Y",IF($CS472="Revenue","N/A",VLOOKUP($CM472,'SBA Size Standards'!$B$3:$G$57,MATCH('SBA Size Standards'!$F$3,'SBA Size Standards'!$B$3:$G$3,0),FALSE)),"")</f>
        <v/>
      </c>
      <c r="CV472" t="str">
        <f>IF($CQ472="Y",IF(OR(AND($CS472="Employment",$CL472&lt;$CU472),AND($CS472="Revenue",$CK472&lt;$CT472)),"YES","NO"),"")</f>
        <v/>
      </c>
      <c r="CW472" s="90" t="str">
        <f>IF($CQ472="Y",INDEX('SBA Size Standards'!$N$3:$N$12,MATCH($CK472,'SBA Size Standards'!$O$3:$O$12,1)),"")</f>
        <v/>
      </c>
      <c r="CX472" s="122" t="s">
        <v>5009</v>
      </c>
      <c r="CY472" s="122">
        <f>INDEX('NM O&amp;G Production'!$P$3:$P$537,MATCH(CX472,'NM O&amp;G Production'!$Q$3:$Q$537,0))</f>
        <v>28</v>
      </c>
      <c r="CZ472" s="122" t="str">
        <f>INDEX('NM O&amp;G Production'!$O$3:$O$537,MATCH(CY472,'NM O&amp;G Production'!$P$3:$P$537,0))</f>
        <v>Yes</v>
      </c>
      <c r="DA472" s="127">
        <f>INDEX('NM O&amp;G Production'!$K$3:$O$537,MATCH($CY472,'NM O&amp;G Production'!$P$3:$P$537,0),MATCH(DA$2,'NM O&amp;G Production'!$K$2:$O$2,0))</f>
        <v>1</v>
      </c>
      <c r="DB472" s="127">
        <f>INDEX('NM O&amp;G Production'!$K$3:$O$537,MATCH($CY472,'NM O&amp;G Production'!$P$3:$P$537,0),MATCH(DB$2,'NM O&amp;G Production'!$K$2:$O$2,0))</f>
        <v>1</v>
      </c>
      <c r="DC472" s="127"/>
      <c r="DD472" s="127">
        <f>INDEX('NM O&amp;G Production'!$K$3:$O$537,MATCH($CY472,'NM O&amp;G Production'!$P$3:$P$537,0),MATCH(DD$2,'NM O&amp;G Production'!$K$2:$O$2,0))</f>
        <v>39570</v>
      </c>
      <c r="DE472" s="127">
        <f>INDEX('NM O&amp;G Production'!$K$3:$O$537,MATCH($CY472,'NM O&amp;G Production'!$P$3:$P$537,0),MATCH(DE$2,'NM O&amp;G Production'!$K$2:$O$2,0))</f>
        <v>1497</v>
      </c>
      <c r="DF472" s="258">
        <f>CK472/(DB472+DA472)</f>
        <v>0</v>
      </c>
      <c r="DG472" s="57">
        <f>DD472*(12/18)*1.06*'Oil and Gas Prices'!$C$18</f>
        <v>66831.092000000004</v>
      </c>
      <c r="DH472" s="284">
        <f>DE472*(12/18)*'Oil and Gas Prices'!$C$4</f>
        <v>44910</v>
      </c>
      <c r="DI472" s="284">
        <f>DG472+DH472</f>
        <v>111741.092</v>
      </c>
      <c r="DJ472" s="57">
        <f>(DG472+DH472)/(DA472+DB472)</f>
        <v>55870.546000000002</v>
      </c>
      <c r="DK472" s="18">
        <f>CK472/DI472</f>
        <v>0</v>
      </c>
    </row>
    <row r="473" spans="1:115" x14ac:dyDescent="0.25">
      <c r="A473" t="s">
        <v>3108</v>
      </c>
      <c r="B473" t="s">
        <v>3109</v>
      </c>
      <c r="D473" t="s">
        <v>3110</v>
      </c>
      <c r="E473" t="s">
        <v>84</v>
      </c>
      <c r="F473">
        <v>87574</v>
      </c>
      <c r="G473" t="s">
        <v>62</v>
      </c>
      <c r="I473">
        <v>455</v>
      </c>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c r="CL473"/>
      <c r="CN473" s="35">
        <f>IF($BH473="",1,COUNTIF($BH$3:$BH473,$BH473))</f>
        <v>1</v>
      </c>
      <c r="CP473" t="str">
        <f>IF($K473="Standard Match","Match",IF($K473="Name Only Match",IF($CO473="Yes","Match","Name Only Match"),"No Match"))</f>
        <v>No Match</v>
      </c>
      <c r="CQ473" s="35" t="str">
        <f>IF(AND(CP473="Match",CK473&gt;0,CL473&gt;0),"Y","N")</f>
        <v>N</v>
      </c>
      <c r="CS473" t="str">
        <f>IF($CQ473="Y",VLOOKUP($CM473,'SBA Size Standards'!$B$3:$G$57,MATCH('SBA Size Standards'!$G$3,'SBA Size Standards'!$B$3:$G$3,0),FALSE),"")</f>
        <v/>
      </c>
      <c r="CT473" s="60" t="str">
        <f>IF(CQ473="Y",IF($CS473="Employment","N/A",VLOOKUP($CM473,'SBA Size Standards'!$B$3:$G$57,MATCH('SBA Size Standards'!$E$3,'SBA Size Standards'!$B$3:$G$3,0),FALSE)),"")</f>
        <v/>
      </c>
      <c r="CU473" s="86" t="str">
        <f>IF($CQ473="Y",IF($CS473="Revenue","N/A",VLOOKUP($CM473,'SBA Size Standards'!$B$3:$G$57,MATCH('SBA Size Standards'!$F$3,'SBA Size Standards'!$B$3:$G$3,0),FALSE)),"")</f>
        <v/>
      </c>
      <c r="CV473" t="str">
        <f>IF($CQ473="Y",IF(OR(AND($CS473="Employment",$CL473&lt;$CU473),AND($CS473="Revenue",$CK473&lt;$CT473)),"YES","NO"),"")</f>
        <v/>
      </c>
      <c r="CW473" s="90" t="str">
        <f>IF($CQ473="Y",INDEX('SBA Size Standards'!$N$3:$N$12,MATCH($CK473,'SBA Size Standards'!$O$3:$O$12,1)),"")</f>
        <v/>
      </c>
      <c r="CX473" s="122" t="s">
        <v>5047</v>
      </c>
      <c r="CY473" s="122">
        <f>INDEX('NM O&amp;G Production'!$P$3:$P$537,MATCH(CX473,'NM O&amp;G Production'!$Q$3:$Q$537,0))</f>
        <v>455</v>
      </c>
      <c r="CZ473" s="122" t="str">
        <f>INDEX('NM O&amp;G Production'!$O$3:$O$537,MATCH(CY473,'NM O&amp;G Production'!$P$3:$P$537,0))</f>
        <v>Yes</v>
      </c>
      <c r="DA473" s="127">
        <f>INDEX('NM O&amp;G Production'!$K$3:$O$537,MATCH($CY473,'NM O&amp;G Production'!$P$3:$P$537,0),MATCH(DA$2,'NM O&amp;G Production'!$K$2:$O$2,0))</f>
        <v>0</v>
      </c>
      <c r="DB473" s="127">
        <f>INDEX('NM O&amp;G Production'!$K$3:$O$537,MATCH($CY473,'NM O&amp;G Production'!$P$3:$P$537,0),MATCH(DB$2,'NM O&amp;G Production'!$K$2:$O$2,0))</f>
        <v>3</v>
      </c>
      <c r="DC473" s="127"/>
      <c r="DD473" s="127">
        <f>INDEX('NM O&amp;G Production'!$K$3:$O$537,MATCH($CY473,'NM O&amp;G Production'!$P$3:$P$537,0),MATCH(DD$2,'NM O&amp;G Production'!$K$2:$O$2,0))</f>
        <v>1930</v>
      </c>
      <c r="DE473" s="127">
        <f>INDEX('NM O&amp;G Production'!$K$3:$O$537,MATCH($CY473,'NM O&amp;G Production'!$P$3:$P$537,0),MATCH(DE$2,'NM O&amp;G Production'!$K$2:$O$2,0))</f>
        <v>4491</v>
      </c>
      <c r="DF473" s="258">
        <f>CK473/(DB473+DA473)</f>
        <v>0</v>
      </c>
      <c r="DG473" s="57">
        <f>DD473*(12/18)*1.06*'Oil and Gas Prices'!$C$18</f>
        <v>3259.641333333333</v>
      </c>
      <c r="DH473" s="284">
        <f>DE473*(12/18)*'Oil and Gas Prices'!$C$4</f>
        <v>134730</v>
      </c>
      <c r="DI473" s="284">
        <f>DG473+DH473</f>
        <v>137989.64133333333</v>
      </c>
      <c r="DJ473" s="57">
        <f>(DG473+DH473)/(DA473+DB473)</f>
        <v>45996.547111111111</v>
      </c>
      <c r="DK473" s="18">
        <f>CK473/DI473</f>
        <v>0</v>
      </c>
    </row>
    <row r="474" spans="1:115" s="21" customFormat="1" x14ac:dyDescent="0.25">
      <c r="A474" t="s">
        <v>3269</v>
      </c>
      <c r="B474" t="s">
        <v>3270</v>
      </c>
      <c r="C474"/>
      <c r="D474" t="s">
        <v>3271</v>
      </c>
      <c r="E474" t="s">
        <v>84</v>
      </c>
      <c r="F474">
        <v>88125</v>
      </c>
      <c r="G474" t="s">
        <v>62</v>
      </c>
      <c r="H474"/>
      <c r="I474">
        <v>481</v>
      </c>
      <c r="J474"/>
      <c r="K474"/>
      <c r="L474"/>
      <c r="M474"/>
      <c r="N474"/>
      <c r="O474"/>
      <c r="P474"/>
      <c r="Q474"/>
      <c r="R474"/>
      <c r="S474"/>
      <c r="T474"/>
      <c r="U474"/>
      <c r="V474"/>
      <c r="W474"/>
      <c r="X474"/>
      <c r="Y474"/>
      <c r="Z474"/>
      <c r="AA474"/>
      <c r="AB474"/>
      <c r="AC474"/>
      <c r="AD474"/>
      <c r="AE474"/>
      <c r="AF474"/>
      <c r="AG474"/>
      <c r="AH474"/>
      <c r="AI474"/>
      <c r="AJ474"/>
      <c r="AK474"/>
      <c r="AL474"/>
      <c r="AM474"/>
      <c r="AN474"/>
      <c r="AO474"/>
      <c r="AP474"/>
      <c r="AQ474"/>
      <c r="AR474"/>
      <c r="AS474"/>
      <c r="AT474"/>
      <c r="AU474"/>
      <c r="AV474"/>
      <c r="AW474"/>
      <c r="AX474"/>
      <c r="AY474"/>
      <c r="AZ474"/>
      <c r="BA474"/>
      <c r="BB474"/>
      <c r="BC474"/>
      <c r="BD474"/>
      <c r="BE474"/>
      <c r="BF474"/>
      <c r="BG474"/>
      <c r="CK474"/>
      <c r="CL474"/>
      <c r="CM474"/>
      <c r="CN474" s="35">
        <f>IF($BH474="",1,COUNTIF($BH$3:$BH474,$BH474))</f>
        <v>1</v>
      </c>
      <c r="CO474"/>
      <c r="CP474" t="str">
        <f>IF($K474="Standard Match","Match",IF($K474="Name Only Match",IF($CO474="Yes","Match","Name Only Match"),"No Match"))</f>
        <v>No Match</v>
      </c>
      <c r="CQ474" s="35" t="str">
        <f>IF(AND(CP474="Match",CK474&gt;0,CL474&gt;0),"Y","N")</f>
        <v>N</v>
      </c>
      <c r="CR474"/>
      <c r="CS474" t="str">
        <f>IF($CQ474="Y",VLOOKUP($CM474,'SBA Size Standards'!$B$3:$G$57,MATCH('SBA Size Standards'!$G$3,'SBA Size Standards'!$B$3:$G$3,0),FALSE),"")</f>
        <v/>
      </c>
      <c r="CT474" s="60" t="str">
        <f>IF(CQ474="Y",IF($CS474="Employment","N/A",VLOOKUP($CM474,'SBA Size Standards'!$B$3:$G$57,MATCH('SBA Size Standards'!$E$3,'SBA Size Standards'!$B$3:$G$3,0),FALSE)),"")</f>
        <v/>
      </c>
      <c r="CU474" s="86" t="str">
        <f>IF($CQ474="Y",IF($CS474="Revenue","N/A",VLOOKUP($CM474,'SBA Size Standards'!$B$3:$G$57,MATCH('SBA Size Standards'!$F$3,'SBA Size Standards'!$B$3:$G$3,0),FALSE)),"")</f>
        <v/>
      </c>
      <c r="CV474" t="str">
        <f>IF($CQ474="Y",IF(OR(AND($CS474="Employment",$CL474&lt;$CU474),AND($CS474="Revenue",$CK474&lt;$CT474)),"YES","NO"),"")</f>
        <v/>
      </c>
      <c r="CW474" s="90" t="str">
        <f>IF($CQ474="Y",INDEX('SBA Size Standards'!$N$3:$N$12,MATCH($CK474,'SBA Size Standards'!$O$3:$O$12,1)),"")</f>
        <v/>
      </c>
      <c r="CX474" s="122" t="s">
        <v>5050</v>
      </c>
      <c r="CY474" s="122">
        <f>INDEX('NM O&amp;G Production'!$P$3:$P$537,MATCH(CX474,'NM O&amp;G Production'!$Q$3:$Q$537,0))</f>
        <v>481</v>
      </c>
      <c r="CZ474" s="122" t="str">
        <f>INDEX('NM O&amp;G Production'!$O$3:$O$537,MATCH(CY474,'NM O&amp;G Production'!$P$3:$P$537,0))</f>
        <v>Yes</v>
      </c>
      <c r="DA474" s="127">
        <f>INDEX('NM O&amp;G Production'!$K$3:$O$537,MATCH($CY474,'NM O&amp;G Production'!$P$3:$P$537,0),MATCH(DA$2,'NM O&amp;G Production'!$K$2:$O$2,0))</f>
        <v>0</v>
      </c>
      <c r="DB474" s="127">
        <f>INDEX('NM O&amp;G Production'!$K$3:$O$537,MATCH($CY474,'NM O&amp;G Production'!$P$3:$P$537,0),MATCH(DB$2,'NM O&amp;G Production'!$K$2:$O$2,0))</f>
        <v>4</v>
      </c>
      <c r="DC474" s="127"/>
      <c r="DD474" s="127">
        <f>INDEX('NM O&amp;G Production'!$K$3:$O$537,MATCH($CY474,'NM O&amp;G Production'!$P$3:$P$537,0),MATCH(DD$2,'NM O&amp;G Production'!$K$2:$O$2,0))</f>
        <v>0</v>
      </c>
      <c r="DE474" s="127">
        <f>INDEX('NM O&amp;G Production'!$K$3:$O$537,MATCH($CY474,'NM O&amp;G Production'!$P$3:$P$537,0),MATCH(DE$2,'NM O&amp;G Production'!$K$2:$O$2,0))</f>
        <v>5974</v>
      </c>
      <c r="DF474" s="258">
        <f>CK474/(DB474+DA474)</f>
        <v>0</v>
      </c>
      <c r="DG474" s="57">
        <f>DD474*(12/18)*1.06*'Oil and Gas Prices'!$C$18</f>
        <v>0</v>
      </c>
      <c r="DH474" s="284">
        <f>DE474*(12/18)*'Oil and Gas Prices'!$C$4</f>
        <v>179220</v>
      </c>
      <c r="DI474" s="284">
        <f>DG474+DH474</f>
        <v>179220</v>
      </c>
      <c r="DJ474" s="57">
        <f>(DG474+DH474)/(DA474+DB474)</f>
        <v>44805</v>
      </c>
      <c r="DK474" s="18">
        <f>CK474/DI474</f>
        <v>0</v>
      </c>
    </row>
    <row r="475" spans="1:115" s="21" customFormat="1" x14ac:dyDescent="0.25">
      <c r="A475" t="s">
        <v>3295</v>
      </c>
      <c r="B475" t="s">
        <v>3296</v>
      </c>
      <c r="C475"/>
      <c r="D475" t="s">
        <v>1364</v>
      </c>
      <c r="E475" t="s">
        <v>84</v>
      </c>
      <c r="F475">
        <v>88252</v>
      </c>
      <c r="G475" t="s">
        <v>62</v>
      </c>
      <c r="H475"/>
      <c r="I475">
        <v>486</v>
      </c>
      <c r="J475"/>
      <c r="K475"/>
      <c r="L475"/>
      <c r="M475"/>
      <c r="N475"/>
      <c r="O475"/>
      <c r="P475"/>
      <c r="Q475"/>
      <c r="R475"/>
      <c r="S475"/>
      <c r="T475"/>
      <c r="U475"/>
      <c r="V475"/>
      <c r="W475"/>
      <c r="X475"/>
      <c r="Y475"/>
      <c r="Z475"/>
      <c r="AA475"/>
      <c r="AB475"/>
      <c r="AC475"/>
      <c r="AD475"/>
      <c r="AE475"/>
      <c r="AF475"/>
      <c r="AG475"/>
      <c r="AH475"/>
      <c r="AI475"/>
      <c r="AJ475"/>
      <c r="AK475"/>
      <c r="AL475"/>
      <c r="AM475"/>
      <c r="AN475"/>
      <c r="AO475"/>
      <c r="AP475"/>
      <c r="AQ475"/>
      <c r="AR475"/>
      <c r="AS475"/>
      <c r="AT475"/>
      <c r="AU475"/>
      <c r="AV475"/>
      <c r="AW475"/>
      <c r="AX475"/>
      <c r="AY475"/>
      <c r="AZ475"/>
      <c r="BA475"/>
      <c r="BB475"/>
      <c r="BC475"/>
      <c r="BD475"/>
      <c r="BE475"/>
      <c r="BF475"/>
      <c r="BG475"/>
      <c r="CK475"/>
      <c r="CL475"/>
      <c r="CM475"/>
      <c r="CN475" s="35">
        <f>IF($BH475="",1,COUNTIF($BH$3:$BH475,$BH475))</f>
        <v>1</v>
      </c>
      <c r="CO475"/>
      <c r="CP475" t="str">
        <f>IF($K475="Standard Match","Match",IF($K475="Name Only Match",IF($CO475="Yes","Match","Name Only Match"),"No Match"))</f>
        <v>No Match</v>
      </c>
      <c r="CQ475" s="35" t="str">
        <f>IF(AND(CP475="Match",CK475&gt;0,CL475&gt;0),"Y","N")</f>
        <v>N</v>
      </c>
      <c r="CR475"/>
      <c r="CS475" t="str">
        <f>IF($CQ475="Y",VLOOKUP($CM475,'SBA Size Standards'!$B$3:$G$57,MATCH('SBA Size Standards'!$G$3,'SBA Size Standards'!$B$3:$G$3,0),FALSE),"")</f>
        <v/>
      </c>
      <c r="CT475" s="60" t="str">
        <f>IF(CQ475="Y",IF($CS475="Employment","N/A",VLOOKUP($CM475,'SBA Size Standards'!$B$3:$G$57,MATCH('SBA Size Standards'!$E$3,'SBA Size Standards'!$B$3:$G$3,0),FALSE)),"")</f>
        <v/>
      </c>
      <c r="CU475" s="86" t="str">
        <f>IF($CQ475="Y",IF($CS475="Revenue","N/A",VLOOKUP($CM475,'SBA Size Standards'!$B$3:$G$57,MATCH('SBA Size Standards'!$F$3,'SBA Size Standards'!$B$3:$G$3,0),FALSE)),"")</f>
        <v/>
      </c>
      <c r="CV475" t="str">
        <f>IF($CQ475="Y",IF(OR(AND($CS475="Employment",$CL475&lt;$CU475),AND($CS475="Revenue",$CK475&lt;$CT475)),"YES","NO"),"")</f>
        <v/>
      </c>
      <c r="CW475" s="90" t="str">
        <f>IF($CQ475="Y",INDEX('SBA Size Standards'!$N$3:$N$12,MATCH($CK475,'SBA Size Standards'!$O$3:$O$12,1)),"")</f>
        <v/>
      </c>
      <c r="CX475" s="122" t="s">
        <v>5051</v>
      </c>
      <c r="CY475" s="122">
        <f>INDEX('NM O&amp;G Production'!$P$3:$P$537,MATCH(CX475,'NM O&amp;G Production'!$Q$3:$Q$537,0))</f>
        <v>486</v>
      </c>
      <c r="CZ475" s="122" t="str">
        <f>INDEX('NM O&amp;G Production'!$O$3:$O$537,MATCH(CY475,'NM O&amp;G Production'!$P$3:$P$537,0))</f>
        <v>Yes</v>
      </c>
      <c r="DA475" s="127">
        <f>INDEX('NM O&amp;G Production'!$K$3:$O$537,MATCH($CY475,'NM O&amp;G Production'!$P$3:$P$537,0),MATCH(DA$2,'NM O&amp;G Production'!$K$2:$O$2,0))</f>
        <v>1</v>
      </c>
      <c r="DB475" s="127">
        <f>INDEX('NM O&amp;G Production'!$K$3:$O$537,MATCH($CY475,'NM O&amp;G Production'!$P$3:$P$537,0),MATCH(DB$2,'NM O&amp;G Production'!$K$2:$O$2,0))</f>
        <v>8</v>
      </c>
      <c r="DC475" s="127"/>
      <c r="DD475" s="127">
        <f>INDEX('NM O&amp;G Production'!$K$3:$O$537,MATCH($CY475,'NM O&amp;G Production'!$P$3:$P$537,0),MATCH(DD$2,'NM O&amp;G Production'!$K$2:$O$2,0))</f>
        <v>12486</v>
      </c>
      <c r="DE475" s="127">
        <f>INDEX('NM O&amp;G Production'!$K$3:$O$537,MATCH($CY475,'NM O&amp;G Production'!$P$3:$P$537,0),MATCH(DE$2,'NM O&amp;G Production'!$K$2:$O$2,0))</f>
        <v>9098</v>
      </c>
      <c r="DF475" s="258">
        <f>CK475/(DB475+DA475)</f>
        <v>0</v>
      </c>
      <c r="DG475" s="57">
        <f>DD475*(12/18)*1.06*'Oil and Gas Prices'!$C$18</f>
        <v>21088.021600000004</v>
      </c>
      <c r="DH475" s="284">
        <f>DE475*(12/18)*'Oil and Gas Prices'!$C$4</f>
        <v>272940</v>
      </c>
      <c r="DI475" s="284">
        <f>DG475+DH475</f>
        <v>294028.02159999998</v>
      </c>
      <c r="DJ475" s="57">
        <f>(DG475+DH475)/(DA475+DB475)</f>
        <v>32669.780177777775</v>
      </c>
      <c r="DK475" s="18">
        <f>CK475/DI475</f>
        <v>0</v>
      </c>
    </row>
    <row r="476" spans="1:115" x14ac:dyDescent="0.25">
      <c r="A476" t="s">
        <v>1339</v>
      </c>
      <c r="B476" t="s">
        <v>1340</v>
      </c>
      <c r="D476" t="s">
        <v>123</v>
      </c>
      <c r="E476" t="s">
        <v>84</v>
      </c>
      <c r="F476">
        <v>87499</v>
      </c>
      <c r="G476" t="s">
        <v>62</v>
      </c>
      <c r="I476">
        <v>176</v>
      </c>
      <c r="O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c r="CL476"/>
      <c r="CM476" s="21"/>
      <c r="CN476" s="61">
        <f>IF($BH476="",1,COUNTIF($BH$3:$BH476,$BH476))</f>
        <v>1</v>
      </c>
      <c r="CP476" t="str">
        <f>IF($K476="Standard Match","Match",IF($K476="Name Only Match",IF($CO476="Yes","Match","Name Only Match"),"No Match"))</f>
        <v>No Match</v>
      </c>
      <c r="CQ476" s="35" t="str">
        <f>IF(AND(CP476="Match",CK476&gt;0,CL476&gt;0),"Y","N")</f>
        <v>N</v>
      </c>
      <c r="CS476" t="str">
        <f>IF($CQ476="Y",VLOOKUP($CM476,'SBA Size Standards'!$B$3:$G$57,MATCH('SBA Size Standards'!$G$3,'SBA Size Standards'!$B$3:$G$3,0),FALSE),"")</f>
        <v/>
      </c>
      <c r="CT476" s="60" t="str">
        <f>IF(CQ476="Y",IF($CS476="Employment","N/A",VLOOKUP($CM476,'SBA Size Standards'!$B$3:$G$57,MATCH('SBA Size Standards'!$E$3,'SBA Size Standards'!$B$3:$G$3,0),FALSE)),"")</f>
        <v/>
      </c>
      <c r="CU476" s="86" t="str">
        <f>IF($CQ476="Y",IF($CS476="Revenue","N/A",VLOOKUP($CM476,'SBA Size Standards'!$B$3:$G$57,MATCH('SBA Size Standards'!$F$3,'SBA Size Standards'!$B$3:$G$3,0),FALSE)),"")</f>
        <v/>
      </c>
      <c r="CV476" t="str">
        <f>IF($CQ476="Y",IF(OR(AND($CS476="Employment",$CL476&lt;$CU476),AND($CS476="Revenue",$CK476&lt;$CT476)),"YES","NO"),"")</f>
        <v/>
      </c>
      <c r="CW476" s="90" t="str">
        <f>IF($CQ476="Y",INDEX('SBA Size Standards'!$N$3:$N$12,MATCH($CK476,'SBA Size Standards'!$O$3:$O$12,1)),"")</f>
        <v/>
      </c>
      <c r="CX476" s="122" t="s">
        <v>5019</v>
      </c>
      <c r="CY476" s="122">
        <f>INDEX('NM O&amp;G Production'!$P$3:$P$537,MATCH(CX476,'NM O&amp;G Production'!$Q$3:$Q$537,0))</f>
        <v>176</v>
      </c>
      <c r="CZ476" s="122" t="str">
        <f>INDEX('NM O&amp;G Production'!$O$3:$O$537,MATCH(CY476,'NM O&amp;G Production'!$P$3:$P$537,0))</f>
        <v>Yes</v>
      </c>
      <c r="DA476" s="127">
        <f>INDEX('NM O&amp;G Production'!$K$3:$O$537,MATCH($CY476,'NM O&amp;G Production'!$P$3:$P$537,0),MATCH(DA$2,'NM O&amp;G Production'!$K$2:$O$2,0))</f>
        <v>0</v>
      </c>
      <c r="DB476" s="127">
        <f>INDEX('NM O&amp;G Production'!$K$3:$O$537,MATCH($CY476,'NM O&amp;G Production'!$P$3:$P$537,0),MATCH(DB$2,'NM O&amp;G Production'!$K$2:$O$2,0))</f>
        <v>1</v>
      </c>
      <c r="DC476" s="127"/>
      <c r="DD476" s="127">
        <f>INDEX('NM O&amp;G Production'!$K$3:$O$537,MATCH($CY476,'NM O&amp;G Production'!$P$3:$P$537,0),MATCH(DD$2,'NM O&amp;G Production'!$K$2:$O$2,0))</f>
        <v>2694</v>
      </c>
      <c r="DE476" s="127">
        <f>INDEX('NM O&amp;G Production'!$K$3:$O$537,MATCH($CY476,'NM O&amp;G Production'!$P$3:$P$537,0),MATCH(DE$2,'NM O&amp;G Production'!$K$2:$O$2,0))</f>
        <v>897</v>
      </c>
      <c r="DF476" s="258">
        <f>CK476/(DB476+DA476)</f>
        <v>0</v>
      </c>
      <c r="DG476" s="57">
        <f>DD476*(12/18)*1.06*'Oil and Gas Prices'!$C$18</f>
        <v>4549.9863999999998</v>
      </c>
      <c r="DH476" s="284">
        <f>DE476*(12/18)*'Oil and Gas Prices'!$C$4</f>
        <v>26910</v>
      </c>
      <c r="DI476" s="284">
        <f>DG476+DH476</f>
        <v>31459.986400000002</v>
      </c>
      <c r="DJ476" s="57">
        <f>(DG476+DH476)/(DA476+DB476)</f>
        <v>31459.986400000002</v>
      </c>
      <c r="DK476" s="18">
        <f>CK476/DI476</f>
        <v>0</v>
      </c>
    </row>
    <row r="477" spans="1:115" s="21" customFormat="1" x14ac:dyDescent="0.25">
      <c r="A477" t="s">
        <v>2095</v>
      </c>
      <c r="B477" t="s">
        <v>2096</v>
      </c>
      <c r="C477"/>
      <c r="D477" t="s">
        <v>123</v>
      </c>
      <c r="E477" t="s">
        <v>84</v>
      </c>
      <c r="F477">
        <v>87499</v>
      </c>
      <c r="G477" t="s">
        <v>62</v>
      </c>
      <c r="H477"/>
      <c r="I477">
        <v>295</v>
      </c>
      <c r="J477"/>
      <c r="K477"/>
      <c r="L477"/>
      <c r="M477"/>
      <c r="N477"/>
      <c r="O477"/>
      <c r="P477"/>
      <c r="Q477"/>
      <c r="R477"/>
      <c r="S477"/>
      <c r="T477"/>
      <c r="U477"/>
      <c r="V477"/>
      <c r="W477"/>
      <c r="X477"/>
      <c r="Y477"/>
      <c r="Z477"/>
      <c r="AA477"/>
      <c r="AB477"/>
      <c r="AC477"/>
      <c r="AD477"/>
      <c r="AE477"/>
      <c r="AF477"/>
      <c r="AG477"/>
      <c r="AH477"/>
      <c r="AI477"/>
      <c r="AJ477"/>
      <c r="AK477"/>
      <c r="AL477"/>
      <c r="AM477"/>
      <c r="AN477"/>
      <c r="AO477"/>
      <c r="AP477"/>
      <c r="AQ477"/>
      <c r="AR477"/>
      <c r="AS477"/>
      <c r="AT477"/>
      <c r="AU477"/>
      <c r="AV477"/>
      <c r="AW477"/>
      <c r="AX477"/>
      <c r="AY477"/>
      <c r="AZ477"/>
      <c r="BA477"/>
      <c r="BB477"/>
      <c r="BC477"/>
      <c r="BD477"/>
      <c r="BE477"/>
      <c r="BF477"/>
      <c r="BG477"/>
      <c r="CK477"/>
      <c r="CL477"/>
      <c r="CN477" s="61">
        <f>IF($BH477="",1,COUNTIF($BH$3:$BH477,$BH477))</f>
        <v>1</v>
      </c>
      <c r="CO477"/>
      <c r="CP477" t="str">
        <f>IF($K477="Standard Match","Match",IF($K477="Name Only Match",IF($CO477="Yes","Match","Name Only Match"),"No Match"))</f>
        <v>No Match</v>
      </c>
      <c r="CQ477" s="35" t="str">
        <f>IF(AND(CP477="Match",CK477&gt;0,CL477&gt;0),"Y","N")</f>
        <v>N</v>
      </c>
      <c r="CR477"/>
      <c r="CS477" t="str">
        <f>IF($CQ477="Y",VLOOKUP($CM477,'SBA Size Standards'!$B$3:$G$57,MATCH('SBA Size Standards'!$G$3,'SBA Size Standards'!$B$3:$G$3,0),FALSE),"")</f>
        <v/>
      </c>
      <c r="CT477" s="60" t="str">
        <f>IF(CQ477="Y",IF($CS477="Employment","N/A",VLOOKUP($CM477,'SBA Size Standards'!$B$3:$G$57,MATCH('SBA Size Standards'!$E$3,'SBA Size Standards'!$B$3:$G$3,0),FALSE)),"")</f>
        <v/>
      </c>
      <c r="CU477" s="86" t="str">
        <f>IF($CQ477="Y",IF($CS477="Revenue","N/A",VLOOKUP($CM477,'SBA Size Standards'!$B$3:$G$57,MATCH('SBA Size Standards'!$F$3,'SBA Size Standards'!$B$3:$G$3,0),FALSE)),"")</f>
        <v/>
      </c>
      <c r="CV477" t="str">
        <f>IF($CQ477="Y",IF(OR(AND($CS477="Employment",$CL477&lt;$CU477),AND($CS477="Revenue",$CK477&lt;$CT477)),"YES","NO"),"")</f>
        <v/>
      </c>
      <c r="CW477" s="90" t="str">
        <f>IF($CQ477="Y",INDEX('SBA Size Standards'!$N$3:$N$12,MATCH($CK477,'SBA Size Standards'!$O$3:$O$12,1)),"")</f>
        <v/>
      </c>
      <c r="CX477" s="122" t="s">
        <v>5034</v>
      </c>
      <c r="CY477" s="122">
        <f>INDEX('NM O&amp;G Production'!$P$3:$P$537,MATCH(CX477,'NM O&amp;G Production'!$Q$3:$Q$537,0))</f>
        <v>295</v>
      </c>
      <c r="CZ477" s="122" t="str">
        <f>INDEX('NM O&amp;G Production'!$O$3:$O$537,MATCH(CY477,'NM O&amp;G Production'!$P$3:$P$537,0))</f>
        <v>Yes</v>
      </c>
      <c r="DA477" s="127">
        <f>INDEX('NM O&amp;G Production'!$K$3:$O$537,MATCH($CY477,'NM O&amp;G Production'!$P$3:$P$537,0),MATCH(DA$2,'NM O&amp;G Production'!$K$2:$O$2,0))</f>
        <v>0</v>
      </c>
      <c r="DB477" s="127">
        <f>INDEX('NM O&amp;G Production'!$K$3:$O$537,MATCH($CY477,'NM O&amp;G Production'!$P$3:$P$537,0),MATCH(DB$2,'NM O&amp;G Production'!$K$2:$O$2,0))</f>
        <v>2</v>
      </c>
      <c r="DC477" s="127"/>
      <c r="DD477" s="127">
        <f>INDEX('NM O&amp;G Production'!$K$3:$O$537,MATCH($CY477,'NM O&amp;G Production'!$P$3:$P$537,0),MATCH(DD$2,'NM O&amp;G Production'!$K$2:$O$2,0))</f>
        <v>6934</v>
      </c>
      <c r="DE477" s="127">
        <f>INDEX('NM O&amp;G Production'!$K$3:$O$537,MATCH($CY477,'NM O&amp;G Production'!$P$3:$P$537,0),MATCH(DE$2,'NM O&amp;G Production'!$K$2:$O$2,0))</f>
        <v>1694</v>
      </c>
      <c r="DF477" s="258">
        <f>CK477/(DB477+DA477)</f>
        <v>0</v>
      </c>
      <c r="DG477" s="57">
        <f>DD477*(12/18)*1.06*'Oil and Gas Prices'!$C$18</f>
        <v>11711.063733333334</v>
      </c>
      <c r="DH477" s="284">
        <f>DE477*(12/18)*'Oil and Gas Prices'!$C$4</f>
        <v>50820</v>
      </c>
      <c r="DI477" s="284">
        <f>DG477+DH477</f>
        <v>62531.063733333336</v>
      </c>
      <c r="DJ477" s="57">
        <f>(DG477+DH477)/(DA477+DB477)</f>
        <v>31265.531866666668</v>
      </c>
      <c r="DK477" s="18">
        <f>CK477/DI477</f>
        <v>0</v>
      </c>
    </row>
    <row r="478" spans="1:115" x14ac:dyDescent="0.25">
      <c r="A478" t="s">
        <v>2236</v>
      </c>
      <c r="B478" t="s">
        <v>293</v>
      </c>
      <c r="D478" t="s">
        <v>206</v>
      </c>
      <c r="E478" t="s">
        <v>84</v>
      </c>
      <c r="F478">
        <v>88240</v>
      </c>
      <c r="G478" t="s">
        <v>62</v>
      </c>
      <c r="I478">
        <v>316</v>
      </c>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c r="CL478"/>
      <c r="CM478" s="21"/>
      <c r="CN478" s="61">
        <f>IF($BH478="",1,COUNTIF($BH$3:$BH478,$BH478))</f>
        <v>1</v>
      </c>
      <c r="CP478" t="str">
        <f>IF($K478="Standard Match","Match",IF($K478="Name Only Match",IF($CO478="Yes","Match","Name Only Match"),"No Match"))</f>
        <v>No Match</v>
      </c>
      <c r="CQ478" s="35" t="str">
        <f>IF(AND(CP478="Match",CK478&gt;0,CL478&gt;0),"Y","N")</f>
        <v>N</v>
      </c>
      <c r="CS478" t="str">
        <f>IF($CQ478="Y",VLOOKUP($CM478,'SBA Size Standards'!$B$3:$G$57,MATCH('SBA Size Standards'!$G$3,'SBA Size Standards'!$B$3:$G$3,0),FALSE),"")</f>
        <v/>
      </c>
      <c r="CT478" s="60" t="str">
        <f>IF(CQ478="Y",IF($CS478="Employment","N/A",VLOOKUP($CM478,'SBA Size Standards'!$B$3:$G$57,MATCH('SBA Size Standards'!$E$3,'SBA Size Standards'!$B$3:$G$3,0),FALSE)),"")</f>
        <v/>
      </c>
      <c r="CU478" s="86" t="str">
        <f>IF($CQ478="Y",IF($CS478="Revenue","N/A",VLOOKUP($CM478,'SBA Size Standards'!$B$3:$G$57,MATCH('SBA Size Standards'!$F$3,'SBA Size Standards'!$B$3:$G$3,0),FALSE)),"")</f>
        <v/>
      </c>
      <c r="CV478" t="str">
        <f>IF($CQ478="Y",IF(OR(AND($CS478="Employment",$CL478&lt;$CU478),AND($CS478="Revenue",$CK478&lt;$CT478)),"YES","NO"),"")</f>
        <v/>
      </c>
      <c r="CW478" s="90" t="str">
        <f>IF($CQ478="Y",INDEX('SBA Size Standards'!$N$3:$N$12,MATCH($CK478,'SBA Size Standards'!$O$3:$O$12,1)),"")</f>
        <v/>
      </c>
      <c r="CX478" s="122" t="s">
        <v>5036</v>
      </c>
      <c r="CY478" s="122">
        <f>INDEX('NM O&amp;G Production'!$P$3:$P$537,MATCH(CX478,'NM O&amp;G Production'!$Q$3:$Q$537,0))</f>
        <v>316</v>
      </c>
      <c r="CZ478" s="122" t="str">
        <f>INDEX('NM O&amp;G Production'!$O$3:$O$537,MATCH(CY478,'NM O&amp;G Production'!$P$3:$P$537,0))</f>
        <v>Yes</v>
      </c>
      <c r="DA478" s="127">
        <f>INDEX('NM O&amp;G Production'!$K$3:$O$537,MATCH($CY478,'NM O&amp;G Production'!$P$3:$P$537,0),MATCH(DA$2,'NM O&amp;G Production'!$K$2:$O$2,0))</f>
        <v>1</v>
      </c>
      <c r="DB478" s="127">
        <f>INDEX('NM O&amp;G Production'!$K$3:$O$537,MATCH($CY478,'NM O&amp;G Production'!$P$3:$P$537,0),MATCH(DB$2,'NM O&amp;G Production'!$K$2:$O$2,0))</f>
        <v>12</v>
      </c>
      <c r="DC478" s="127"/>
      <c r="DD478" s="127">
        <f>INDEX('NM O&amp;G Production'!$K$3:$O$537,MATCH($CY478,'NM O&amp;G Production'!$P$3:$P$537,0),MATCH(DD$2,'NM O&amp;G Production'!$K$2:$O$2,0))</f>
        <v>48150</v>
      </c>
      <c r="DE478" s="127">
        <f>INDEX('NM O&amp;G Production'!$K$3:$O$537,MATCH($CY478,'NM O&amp;G Production'!$P$3:$P$537,0),MATCH(DE$2,'NM O&amp;G Production'!$K$2:$O$2,0))</f>
        <v>10602</v>
      </c>
      <c r="DF478" s="258">
        <f>CK478/(DB478+DA478)</f>
        <v>0</v>
      </c>
      <c r="DG478" s="57">
        <f>DD478*(12/18)*1.06*'Oil and Gas Prices'!$C$18</f>
        <v>81322.14</v>
      </c>
      <c r="DH478" s="284">
        <f>DE478*(12/18)*'Oil and Gas Prices'!$C$4</f>
        <v>318060</v>
      </c>
      <c r="DI478" s="284">
        <f>DG478+DH478</f>
        <v>399382.14</v>
      </c>
      <c r="DJ478" s="57">
        <f>(DG478+DH478)/(DA478+DB478)</f>
        <v>30721.703076923077</v>
      </c>
      <c r="DK478" s="18">
        <f>CK478/DI478</f>
        <v>0</v>
      </c>
    </row>
    <row r="479" spans="1:115" x14ac:dyDescent="0.25">
      <c r="A479" t="s">
        <v>3188</v>
      </c>
      <c r="B479" t="s">
        <v>3189</v>
      </c>
      <c r="D479" t="s">
        <v>3190</v>
      </c>
      <c r="E479" t="s">
        <v>3191</v>
      </c>
      <c r="F479" t="s">
        <v>3192</v>
      </c>
      <c r="G479" t="s">
        <v>2337</v>
      </c>
      <c r="I479">
        <v>468</v>
      </c>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c r="CL479"/>
      <c r="CN479" s="35">
        <f>IF($BH479="",1,COUNTIF($BH$3:$BH479,$BH479))</f>
        <v>1</v>
      </c>
      <c r="CP479" t="str">
        <f>IF($K479="Standard Match","Match",IF($K479="Name Only Match",IF($CO479="Yes","Match","Name Only Match"),"No Match"))</f>
        <v>No Match</v>
      </c>
      <c r="CQ479" s="35" t="str">
        <f>IF(AND(CP479="Match",CK479&gt;0,CL479&gt;0),"Y","N")</f>
        <v>N</v>
      </c>
      <c r="CS479" t="str">
        <f>IF($CQ479="Y",VLOOKUP($CM479,'SBA Size Standards'!$B$3:$G$57,MATCH('SBA Size Standards'!$G$3,'SBA Size Standards'!$B$3:$G$3,0),FALSE),"")</f>
        <v/>
      </c>
      <c r="CT479" s="60" t="str">
        <f>IF(CQ479="Y",IF($CS479="Employment","N/A",VLOOKUP($CM479,'SBA Size Standards'!$B$3:$G$57,MATCH('SBA Size Standards'!$E$3,'SBA Size Standards'!$B$3:$G$3,0),FALSE)),"")</f>
        <v/>
      </c>
      <c r="CU479" s="86" t="str">
        <f>IF($CQ479="Y",IF($CS479="Revenue","N/A",VLOOKUP($CM479,'SBA Size Standards'!$B$3:$G$57,MATCH('SBA Size Standards'!$F$3,'SBA Size Standards'!$B$3:$G$3,0),FALSE)),"")</f>
        <v/>
      </c>
      <c r="CV479" t="str">
        <f>IF($CQ479="Y",IF(OR(AND($CS479="Employment",$CL479&lt;$CU479),AND($CS479="Revenue",$CK479&lt;$CT479)),"YES","NO"),"")</f>
        <v/>
      </c>
      <c r="CW479" s="90" t="str">
        <f>IF($CQ479="Y",INDEX('SBA Size Standards'!$N$3:$N$12,MATCH($CK479,'SBA Size Standards'!$O$3:$O$12,1)),"")</f>
        <v/>
      </c>
      <c r="CX479" s="122" t="s">
        <v>5049</v>
      </c>
      <c r="CY479" s="122">
        <f>INDEX('NM O&amp;G Production'!$P$3:$P$537,MATCH(CX479,'NM O&amp;G Production'!$Q$3:$Q$537,0))</f>
        <v>468</v>
      </c>
      <c r="CZ479" s="122" t="str">
        <f>INDEX('NM O&amp;G Production'!$O$3:$O$537,MATCH(CY479,'NM O&amp;G Production'!$P$3:$P$537,0))</f>
        <v>Yes</v>
      </c>
      <c r="DA479" s="127">
        <f>INDEX('NM O&amp;G Production'!$K$3:$O$537,MATCH($CY479,'NM O&amp;G Production'!$P$3:$P$537,0),MATCH(DA$2,'NM O&amp;G Production'!$K$2:$O$2,0))</f>
        <v>6</v>
      </c>
      <c r="DB479" s="127">
        <f>INDEX('NM O&amp;G Production'!$K$3:$O$537,MATCH($CY479,'NM O&amp;G Production'!$P$3:$P$537,0),MATCH(DB$2,'NM O&amp;G Production'!$K$2:$O$2,0))</f>
        <v>4</v>
      </c>
      <c r="DC479" s="127"/>
      <c r="DD479" s="127">
        <f>INDEX('NM O&amp;G Production'!$K$3:$O$537,MATCH($CY479,'NM O&amp;G Production'!$P$3:$P$537,0),MATCH(DD$2,'NM O&amp;G Production'!$K$2:$O$2,0))</f>
        <v>140844</v>
      </c>
      <c r="DE479" s="127">
        <f>INDEX('NM O&amp;G Production'!$K$3:$O$537,MATCH($CY479,'NM O&amp;G Production'!$P$3:$P$537,0),MATCH(DE$2,'NM O&amp;G Production'!$K$2:$O$2,0))</f>
        <v>1338</v>
      </c>
      <c r="DF479" s="258">
        <f>CK479/(DB479+DA479)</f>
        <v>0</v>
      </c>
      <c r="DG479" s="57">
        <f>DD479*(12/18)*1.06*'Oil and Gas Prices'!$C$18</f>
        <v>237876.12640000004</v>
      </c>
      <c r="DH479" s="284">
        <f>DE479*(12/18)*'Oil and Gas Prices'!$C$4</f>
        <v>40140</v>
      </c>
      <c r="DI479" s="284">
        <f>DG479+DH479</f>
        <v>278016.12640000007</v>
      </c>
      <c r="DJ479" s="57">
        <f>(DG479+DH479)/(DA479+DB479)</f>
        <v>27801.612640000007</v>
      </c>
      <c r="DK479" s="18">
        <f>CK479/DI479</f>
        <v>0</v>
      </c>
    </row>
    <row r="480" spans="1:115" s="21" customFormat="1" x14ac:dyDescent="0.25">
      <c r="A480" t="s">
        <v>1199</v>
      </c>
      <c r="B480" t="s">
        <v>1200</v>
      </c>
      <c r="C480"/>
      <c r="D480" t="s">
        <v>123</v>
      </c>
      <c r="E480" t="s">
        <v>84</v>
      </c>
      <c r="F480">
        <v>87402</v>
      </c>
      <c r="G480" t="s">
        <v>62</v>
      </c>
      <c r="H480"/>
      <c r="I480">
        <v>156</v>
      </c>
      <c r="J480"/>
      <c r="K480"/>
      <c r="L480"/>
      <c r="M480"/>
      <c r="N480"/>
      <c r="P480"/>
      <c r="Q480"/>
      <c r="R480"/>
      <c r="S480"/>
      <c r="T480"/>
      <c r="U480"/>
      <c r="V480"/>
      <c r="W480"/>
      <c r="X480"/>
      <c r="Y480"/>
      <c r="Z480"/>
      <c r="AA480"/>
      <c r="AB480"/>
      <c r="AC480"/>
      <c r="AD480"/>
      <c r="AE480"/>
      <c r="AF480"/>
      <c r="AG480"/>
      <c r="AH480"/>
      <c r="AI480"/>
      <c r="AJ480"/>
      <c r="AK480"/>
      <c r="AL480"/>
      <c r="AM480"/>
      <c r="AN480"/>
      <c r="AO480"/>
      <c r="AP480"/>
      <c r="AQ480"/>
      <c r="AR480"/>
      <c r="AS480"/>
      <c r="AT480"/>
      <c r="AU480"/>
      <c r="AV480"/>
      <c r="AW480"/>
      <c r="AX480"/>
      <c r="AY480"/>
      <c r="AZ480"/>
      <c r="BA480"/>
      <c r="BB480"/>
      <c r="BC480"/>
      <c r="BD480"/>
      <c r="BE480"/>
      <c r="BF480"/>
      <c r="BG480"/>
      <c r="CK480"/>
      <c r="CL480"/>
      <c r="CN480" s="61">
        <f>IF($BH480="",1,COUNTIF($BH$3:$BH480,$BH480))</f>
        <v>1</v>
      </c>
      <c r="CO480"/>
      <c r="CP480" t="str">
        <f>IF($K480="Standard Match","Match",IF($K480="Name Only Match",IF($CO480="Yes","Match","Name Only Match"),"No Match"))</f>
        <v>No Match</v>
      </c>
      <c r="CQ480" s="35" t="str">
        <f>IF(AND(CP480="Match",CK480&gt;0,CL480&gt;0),"Y","N")</f>
        <v>N</v>
      </c>
      <c r="CR480"/>
      <c r="CS480" t="str">
        <f>IF($CQ480="Y",VLOOKUP($CM480,'SBA Size Standards'!$B$3:$G$57,MATCH('SBA Size Standards'!$G$3,'SBA Size Standards'!$B$3:$G$3,0),FALSE),"")</f>
        <v/>
      </c>
      <c r="CT480" s="60" t="str">
        <f>IF(CQ480="Y",IF($CS480="Employment","N/A",VLOOKUP($CM480,'SBA Size Standards'!$B$3:$G$57,MATCH('SBA Size Standards'!$E$3,'SBA Size Standards'!$B$3:$G$3,0),FALSE)),"")</f>
        <v/>
      </c>
      <c r="CU480" s="86" t="str">
        <f>IF($CQ480="Y",IF($CS480="Revenue","N/A",VLOOKUP($CM480,'SBA Size Standards'!$B$3:$G$57,MATCH('SBA Size Standards'!$F$3,'SBA Size Standards'!$B$3:$G$3,0),FALSE)),"")</f>
        <v/>
      </c>
      <c r="CV480" t="str">
        <f>IF($CQ480="Y",IF(OR(AND($CS480="Employment",$CL480&lt;$CU480),AND($CS480="Revenue",$CK480&lt;$CT480)),"YES","NO"),"")</f>
        <v/>
      </c>
      <c r="CW480" s="90" t="str">
        <f>IF($CQ480="Y",INDEX('SBA Size Standards'!$N$3:$N$12,MATCH($CK480,'SBA Size Standards'!$O$3:$O$12,1)),"")</f>
        <v/>
      </c>
      <c r="CX480" s="122" t="s">
        <v>5017</v>
      </c>
      <c r="CY480" s="122">
        <f>INDEX('NM O&amp;G Production'!$P$3:$P$537,MATCH(CX480,'NM O&amp;G Production'!$Q$3:$Q$537,0))</f>
        <v>156</v>
      </c>
      <c r="CZ480" s="122" t="str">
        <f>INDEX('NM O&amp;G Production'!$O$3:$O$537,MATCH(CY480,'NM O&amp;G Production'!$P$3:$P$537,0))</f>
        <v>Yes</v>
      </c>
      <c r="DA480" s="127">
        <f>INDEX('NM O&amp;G Production'!$K$3:$O$537,MATCH($CY480,'NM O&amp;G Production'!$P$3:$P$537,0),MATCH(DA$2,'NM O&amp;G Production'!$K$2:$O$2,0))</f>
        <v>46</v>
      </c>
      <c r="DB480" s="127">
        <f>INDEX('NM O&amp;G Production'!$K$3:$O$537,MATCH($CY480,'NM O&amp;G Production'!$P$3:$P$537,0),MATCH(DB$2,'NM O&amp;G Production'!$K$2:$O$2,0))</f>
        <v>370</v>
      </c>
      <c r="DC480" s="127"/>
      <c r="DD480" s="127">
        <f>INDEX('NM O&amp;G Production'!$K$3:$O$537,MATCH($CY480,'NM O&amp;G Production'!$P$3:$P$537,0),MATCH(DD$2,'NM O&amp;G Production'!$K$2:$O$2,0))</f>
        <v>3715551</v>
      </c>
      <c r="DE480" s="127">
        <f>INDEX('NM O&amp;G Production'!$K$3:$O$537,MATCH($CY480,'NM O&amp;G Production'!$P$3:$P$537,0),MATCH(DE$2,'NM O&amp;G Production'!$K$2:$O$2,0))</f>
        <v>155112</v>
      </c>
      <c r="DF480" s="258">
        <f>CK480/(DB480+DA480)</f>
        <v>0</v>
      </c>
      <c r="DG480" s="57">
        <f>DD480*(12/18)*1.06*'Oil and Gas Prices'!$C$18</f>
        <v>6275317.9356000004</v>
      </c>
      <c r="DH480" s="284">
        <f>DE480*(12/18)*'Oil and Gas Prices'!$C$4</f>
        <v>4653360</v>
      </c>
      <c r="DI480" s="284">
        <f>DG480+DH480</f>
        <v>10928677.935600001</v>
      </c>
      <c r="DJ480" s="57">
        <f>(DG480+DH480)/(DA480+DB480)</f>
        <v>26270.860422115387</v>
      </c>
      <c r="DK480" s="18">
        <f>CK480/DI480</f>
        <v>0</v>
      </c>
    </row>
    <row r="481" spans="1:115" x14ac:dyDescent="0.25">
      <c r="A481" t="s">
        <v>1996</v>
      </c>
      <c r="B481" t="s">
        <v>1687</v>
      </c>
      <c r="D481" t="s">
        <v>1073</v>
      </c>
      <c r="E481" t="s">
        <v>84</v>
      </c>
      <c r="F481">
        <v>87125</v>
      </c>
      <c r="G481" t="s">
        <v>62</v>
      </c>
      <c r="I481">
        <v>278</v>
      </c>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c r="CL481"/>
      <c r="CM481" s="21"/>
      <c r="CN481" s="61">
        <f>IF($BH481="",1,COUNTIF($BH$3:$BH481,$BH481))</f>
        <v>1</v>
      </c>
      <c r="CP481" t="str">
        <f>IF($K481="Standard Match","Match",IF($K481="Name Only Match",IF($CO481="Yes","Match","Name Only Match"),"No Match"))</f>
        <v>No Match</v>
      </c>
      <c r="CQ481" s="35" t="str">
        <f>IF(AND(CP481="Match",CK481&gt;0,CL481&gt;0),"Y","N")</f>
        <v>N</v>
      </c>
      <c r="CS481" t="str">
        <f>IF($CQ481="Y",VLOOKUP($CM481,'SBA Size Standards'!$B$3:$G$57,MATCH('SBA Size Standards'!$G$3,'SBA Size Standards'!$B$3:$G$3,0),FALSE),"")</f>
        <v/>
      </c>
      <c r="CT481" s="60" t="str">
        <f>IF(CQ481="Y",IF($CS481="Employment","N/A",VLOOKUP($CM481,'SBA Size Standards'!$B$3:$G$57,MATCH('SBA Size Standards'!$E$3,'SBA Size Standards'!$B$3:$G$3,0),FALSE)),"")</f>
        <v/>
      </c>
      <c r="CU481" s="86" t="str">
        <f>IF($CQ481="Y",IF($CS481="Revenue","N/A",VLOOKUP($CM481,'SBA Size Standards'!$B$3:$G$57,MATCH('SBA Size Standards'!$F$3,'SBA Size Standards'!$B$3:$G$3,0),FALSE)),"")</f>
        <v/>
      </c>
      <c r="CV481" t="str">
        <f>IF($CQ481="Y",IF(OR(AND($CS481="Employment",$CL481&lt;$CU481),AND($CS481="Revenue",$CK481&lt;$CT481)),"YES","NO"),"")</f>
        <v/>
      </c>
      <c r="CW481" s="90" t="str">
        <f>IF($CQ481="Y",INDEX('SBA Size Standards'!$N$3:$N$12,MATCH($CK481,'SBA Size Standards'!$O$3:$O$12,1)),"")</f>
        <v/>
      </c>
      <c r="CX481" s="122" t="s">
        <v>5033</v>
      </c>
      <c r="CY481" s="122">
        <f>INDEX('NM O&amp;G Production'!$P$3:$P$537,MATCH(CX481,'NM O&amp;G Production'!$Q$3:$Q$537,0))</f>
        <v>278</v>
      </c>
      <c r="CZ481" s="122" t="str">
        <f>INDEX('NM O&amp;G Production'!$O$3:$O$537,MATCH(CY481,'NM O&amp;G Production'!$P$3:$P$537,0))</f>
        <v>Yes</v>
      </c>
      <c r="DA481" s="127">
        <f>INDEX('NM O&amp;G Production'!$K$3:$O$537,MATCH($CY481,'NM O&amp;G Production'!$P$3:$P$537,0),MATCH(DA$2,'NM O&amp;G Production'!$K$2:$O$2,0))</f>
        <v>0</v>
      </c>
      <c r="DB481" s="127">
        <f>INDEX('NM O&amp;G Production'!$K$3:$O$537,MATCH($CY481,'NM O&amp;G Production'!$P$3:$P$537,0),MATCH(DB$2,'NM O&amp;G Production'!$K$2:$O$2,0))</f>
        <v>5</v>
      </c>
      <c r="DC481" s="127"/>
      <c r="DD481" s="127">
        <f>INDEX('NM O&amp;G Production'!$K$3:$O$537,MATCH($CY481,'NM O&amp;G Production'!$P$3:$P$537,0),MATCH(DD$2,'NM O&amp;G Production'!$K$2:$O$2,0))</f>
        <v>48181</v>
      </c>
      <c r="DE481" s="127">
        <f>INDEX('NM O&amp;G Production'!$K$3:$O$537,MATCH($CY481,'NM O&amp;G Production'!$P$3:$P$537,0),MATCH(DE$2,'NM O&amp;G Production'!$K$2:$O$2,0))</f>
        <v>1511</v>
      </c>
      <c r="DF481" s="258">
        <f>CK481/(DB481+DA481)</f>
        <v>0</v>
      </c>
      <c r="DG481" s="57">
        <f>DD481*(12/18)*1.06*'Oil and Gas Prices'!$C$18</f>
        <v>81374.496933333328</v>
      </c>
      <c r="DH481" s="284">
        <f>DE481*(12/18)*'Oil and Gas Prices'!$C$4</f>
        <v>45330</v>
      </c>
      <c r="DI481" s="284">
        <f>DG481+DH481</f>
        <v>126704.49693333333</v>
      </c>
      <c r="DJ481" s="57">
        <f>(DG481+DH481)/(DA481+DB481)</f>
        <v>25340.899386666664</v>
      </c>
      <c r="DK481" s="18">
        <f>CK481/DI481</f>
        <v>0</v>
      </c>
    </row>
    <row r="482" spans="1:115" x14ac:dyDescent="0.25">
      <c r="A482" t="s">
        <v>1253</v>
      </c>
      <c r="B482" t="s">
        <v>1254</v>
      </c>
      <c r="D482" t="s">
        <v>112</v>
      </c>
      <c r="E482" t="s">
        <v>80</v>
      </c>
      <c r="F482">
        <v>77079</v>
      </c>
      <c r="G482" t="s">
        <v>62</v>
      </c>
      <c r="I482">
        <v>163</v>
      </c>
      <c r="O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c r="CL482"/>
      <c r="CM482" s="21"/>
      <c r="CN482" s="61">
        <f>IF($BH482="",1,COUNTIF($BH$3:$BH482,$BH482))</f>
        <v>1</v>
      </c>
      <c r="CP482" t="str">
        <f>IF($K482="Standard Match","Match",IF($K482="Name Only Match",IF($CO482="Yes","Match","Name Only Match"),"No Match"))</f>
        <v>No Match</v>
      </c>
      <c r="CQ482" s="35" t="str">
        <f>IF(AND(CP482="Match",CK482&gt;0,CL482&gt;0),"Y","N")</f>
        <v>N</v>
      </c>
      <c r="CS482" t="str">
        <f>IF($CQ482="Y",VLOOKUP($CM482,'SBA Size Standards'!$B$3:$G$57,MATCH('SBA Size Standards'!$G$3,'SBA Size Standards'!$B$3:$G$3,0),FALSE),"")</f>
        <v/>
      </c>
      <c r="CT482" s="60" t="str">
        <f>IF(CQ482="Y",IF($CS482="Employment","N/A",VLOOKUP($CM482,'SBA Size Standards'!$B$3:$G$57,MATCH('SBA Size Standards'!$E$3,'SBA Size Standards'!$B$3:$G$3,0),FALSE)),"")</f>
        <v/>
      </c>
      <c r="CU482" s="86" t="str">
        <f>IF($CQ482="Y",IF($CS482="Revenue","N/A",VLOOKUP($CM482,'SBA Size Standards'!$B$3:$G$57,MATCH('SBA Size Standards'!$F$3,'SBA Size Standards'!$B$3:$G$3,0),FALSE)),"")</f>
        <v/>
      </c>
      <c r="CV482" t="str">
        <f>IF($CQ482="Y",IF(OR(AND($CS482="Employment",$CL482&lt;$CU482),AND($CS482="Revenue",$CK482&lt;$CT482)),"YES","NO"),"")</f>
        <v/>
      </c>
      <c r="CW482" s="90" t="str">
        <f>IF($CQ482="Y",INDEX('SBA Size Standards'!$N$3:$N$12,MATCH($CK482,'SBA Size Standards'!$O$3:$O$12,1)),"")</f>
        <v/>
      </c>
      <c r="CX482" s="122" t="s">
        <v>5018</v>
      </c>
      <c r="CY482" s="122">
        <f>INDEX('NM O&amp;G Production'!$P$3:$P$537,MATCH(CX482,'NM O&amp;G Production'!$Q$3:$Q$537,0))</f>
        <v>163</v>
      </c>
      <c r="CZ482" s="122" t="str">
        <f>INDEX('NM O&amp;G Production'!$O$3:$O$537,MATCH(CY482,'NM O&amp;G Production'!$P$3:$P$537,0))</f>
        <v>Yes</v>
      </c>
      <c r="DA482" s="127">
        <f>INDEX('NM O&amp;G Production'!$K$3:$O$537,MATCH($CY482,'NM O&amp;G Production'!$P$3:$P$537,0),MATCH(DA$2,'NM O&amp;G Production'!$K$2:$O$2,0))</f>
        <v>52</v>
      </c>
      <c r="DB482" s="127">
        <f>INDEX('NM O&amp;G Production'!$K$3:$O$537,MATCH($CY482,'NM O&amp;G Production'!$P$3:$P$537,0),MATCH(DB$2,'NM O&amp;G Production'!$K$2:$O$2,0))</f>
        <v>246</v>
      </c>
      <c r="DC482" s="127"/>
      <c r="DD482" s="127">
        <f>INDEX('NM O&amp;G Production'!$K$3:$O$537,MATCH($CY482,'NM O&amp;G Production'!$P$3:$P$537,0),MATCH(DD$2,'NM O&amp;G Production'!$K$2:$O$2,0))</f>
        <v>2879154</v>
      </c>
      <c r="DE482" s="127">
        <f>INDEX('NM O&amp;G Production'!$K$3:$O$537,MATCH($CY482,'NM O&amp;G Production'!$P$3:$P$537,0),MATCH(DE$2,'NM O&amp;G Production'!$K$2:$O$2,0))</f>
        <v>66177</v>
      </c>
      <c r="DF482" s="258">
        <f>CK482/(DB482+DA482)</f>
        <v>0</v>
      </c>
      <c r="DG482" s="57">
        <f>DD482*(12/18)*1.06*'Oil and Gas Prices'!$C$18</f>
        <v>4862699.1624000007</v>
      </c>
      <c r="DH482" s="284">
        <f>DE482*(12/18)*'Oil and Gas Prices'!$C$4</f>
        <v>1985310</v>
      </c>
      <c r="DI482" s="284">
        <f>DG482+DH482</f>
        <v>6848009.1624000007</v>
      </c>
      <c r="DJ482" s="57">
        <f>(DG482+DH482)/(DA482+DB482)</f>
        <v>22979.896518120808</v>
      </c>
      <c r="DK482" s="18">
        <f>CK482/DI482</f>
        <v>0</v>
      </c>
    </row>
    <row r="483" spans="1:115" s="21" customFormat="1" x14ac:dyDescent="0.25">
      <c r="A483" s="33" t="s">
        <v>85</v>
      </c>
      <c r="B483" t="s">
        <v>82</v>
      </c>
      <c r="C483"/>
      <c r="D483" t="s">
        <v>83</v>
      </c>
      <c r="E483" t="s">
        <v>84</v>
      </c>
      <c r="F483">
        <v>88211</v>
      </c>
      <c r="G483" t="s">
        <v>62</v>
      </c>
      <c r="H483"/>
      <c r="I483">
        <v>4</v>
      </c>
      <c r="J483"/>
      <c r="K483"/>
      <c r="L483"/>
      <c r="M483"/>
      <c r="N483"/>
      <c r="P483"/>
      <c r="Q483"/>
      <c r="R483"/>
      <c r="S483"/>
      <c r="T483"/>
      <c r="U483"/>
      <c r="V483"/>
      <c r="W483"/>
      <c r="X483"/>
      <c r="Y483"/>
      <c r="Z483"/>
      <c r="AA483"/>
      <c r="AB483"/>
      <c r="AC483"/>
      <c r="AD483"/>
      <c r="AE483"/>
      <c r="AF483"/>
      <c r="AG483"/>
      <c r="AH483"/>
      <c r="AI483"/>
      <c r="AJ483"/>
      <c r="AK483"/>
      <c r="AL483"/>
      <c r="AM483"/>
      <c r="AN483"/>
      <c r="AO483"/>
      <c r="AP483"/>
      <c r="AQ483"/>
      <c r="AR483"/>
      <c r="AS483"/>
      <c r="AT483"/>
      <c r="AU483"/>
      <c r="AV483"/>
      <c r="AW483"/>
      <c r="AX483"/>
      <c r="AY483"/>
      <c r="AZ483"/>
      <c r="BA483"/>
      <c r="BB483"/>
      <c r="BC483"/>
      <c r="BD483"/>
      <c r="BE483"/>
      <c r="BF483"/>
      <c r="BG483"/>
      <c r="CK483"/>
      <c r="CL483"/>
      <c r="CN483" s="61">
        <f>IF($BH483="",1,COUNTIF($BH$3:$BH483,$BH483))</f>
        <v>1</v>
      </c>
      <c r="CO483"/>
      <c r="CP483" t="str">
        <f>IF($K483="Standard Match","Match",IF($K483="Name Only Match",IF($CO483="Yes","Match","Name Only Match"),"No Match"))</f>
        <v>No Match</v>
      </c>
      <c r="CQ483" s="35" t="str">
        <f>IF(AND(CP483="Match",CK483&gt;0,CL483&gt;0),"Y","N")</f>
        <v>N</v>
      </c>
      <c r="CR483"/>
      <c r="CS483" t="str">
        <f>IF($CQ483="Y",VLOOKUP($CM483,'SBA Size Standards'!$B$3:$G$57,MATCH('SBA Size Standards'!$G$3,'SBA Size Standards'!$B$3:$G$3,0),FALSE),"")</f>
        <v/>
      </c>
      <c r="CT483" s="60" t="str">
        <f>IF(CQ483="Y",IF($CS483="Employment","N/A",VLOOKUP($CM483,'SBA Size Standards'!$B$3:$G$57,MATCH('SBA Size Standards'!$E$3,'SBA Size Standards'!$B$3:$G$3,0),FALSE)),"")</f>
        <v/>
      </c>
      <c r="CU483" s="86" t="str">
        <f>IF($CQ483="Y",IF($CS483="Revenue","N/A",VLOOKUP($CM483,'SBA Size Standards'!$B$3:$G$57,MATCH('SBA Size Standards'!$F$3,'SBA Size Standards'!$B$3:$G$3,0),FALSE)),"")</f>
        <v/>
      </c>
      <c r="CV483" t="str">
        <f>IF($CQ483="Y",IF(OR(AND($CS483="Employment",$CL483&lt;$CU483),AND($CS483="Revenue",$CK483&lt;$CT483)),"YES","NO"),"")</f>
        <v/>
      </c>
      <c r="CW483" s="90" t="str">
        <f>IF($CQ483="Y",INDEX('SBA Size Standards'!$N$3:$N$12,MATCH($CK483,'SBA Size Standards'!$O$3:$O$12,1)),"")</f>
        <v/>
      </c>
      <c r="CX483" s="122" t="s">
        <v>5007</v>
      </c>
      <c r="CY483" s="122">
        <f>INDEX('NM O&amp;G Production'!$P$3:$P$537,MATCH(CX483,'NM O&amp;G Production'!$Q$3:$Q$537,0))</f>
        <v>4</v>
      </c>
      <c r="CZ483" s="122" t="str">
        <f>INDEX('NM O&amp;G Production'!$O$3:$O$537,MATCH(CY483,'NM O&amp;G Production'!$P$3:$P$537,0))</f>
        <v>Yes</v>
      </c>
      <c r="DA483" s="127">
        <f>INDEX('NM O&amp;G Production'!$K$3:$O$537,MATCH($CY483,'NM O&amp;G Production'!$P$3:$P$537,0),MATCH(DA$2,'NM O&amp;G Production'!$K$2:$O$2,0))</f>
        <v>1</v>
      </c>
      <c r="DB483" s="127">
        <f>INDEX('NM O&amp;G Production'!$K$3:$O$537,MATCH($CY483,'NM O&amp;G Production'!$P$3:$P$537,0),MATCH(DB$2,'NM O&amp;G Production'!$K$2:$O$2,0))</f>
        <v>4</v>
      </c>
      <c r="DC483" s="127"/>
      <c r="DD483" s="127">
        <f>INDEX('NM O&amp;G Production'!$K$3:$O$537,MATCH($CY483,'NM O&amp;G Production'!$P$3:$P$537,0),MATCH(DD$2,'NM O&amp;G Production'!$K$2:$O$2,0))</f>
        <v>40281</v>
      </c>
      <c r="DE483" s="127">
        <f>INDEX('NM O&amp;G Production'!$K$3:$O$537,MATCH($CY483,'NM O&amp;G Production'!$P$3:$P$537,0),MATCH(DE$2,'NM O&amp;G Production'!$K$2:$O$2,0))</f>
        <v>1278</v>
      </c>
      <c r="DF483" s="258">
        <f>CK483/(DB483+DA483)</f>
        <v>0</v>
      </c>
      <c r="DG483" s="57">
        <f>DD483*(12/18)*1.06*'Oil and Gas Prices'!$C$18</f>
        <v>68031.923600000009</v>
      </c>
      <c r="DH483" s="284">
        <f>DE483*(12/18)*'Oil and Gas Prices'!$C$4</f>
        <v>38340</v>
      </c>
      <c r="DI483" s="284">
        <f>DG483+DH483</f>
        <v>106371.92360000001</v>
      </c>
      <c r="DJ483" s="57">
        <f>(DG483+DH483)/(DA483+DB483)</f>
        <v>21274.384720000002</v>
      </c>
      <c r="DK483" s="18">
        <f>CK483/DI483</f>
        <v>0</v>
      </c>
    </row>
    <row r="484" spans="1:115" s="21" customFormat="1" x14ac:dyDescent="0.25">
      <c r="A484" t="s">
        <v>3089</v>
      </c>
      <c r="B484" t="s">
        <v>2202</v>
      </c>
      <c r="C484"/>
      <c r="D484" t="s">
        <v>2203</v>
      </c>
      <c r="E484" t="s">
        <v>80</v>
      </c>
      <c r="F484">
        <v>750801946</v>
      </c>
      <c r="G484" t="s">
        <v>62</v>
      </c>
      <c r="H484"/>
      <c r="I484">
        <v>451</v>
      </c>
      <c r="J484"/>
      <c r="K484"/>
      <c r="L484"/>
      <c r="M484"/>
      <c r="N484"/>
      <c r="O484"/>
      <c r="P484"/>
      <c r="Q484"/>
      <c r="R484"/>
      <c r="S484"/>
      <c r="T484"/>
      <c r="U484"/>
      <c r="V484"/>
      <c r="W484"/>
      <c r="X484"/>
      <c r="Y484"/>
      <c r="Z484"/>
      <c r="AA484"/>
      <c r="AB484"/>
      <c r="AC484"/>
      <c r="AD484"/>
      <c r="AE484"/>
      <c r="AF484"/>
      <c r="AG484"/>
      <c r="AH484"/>
      <c r="AI484"/>
      <c r="AJ484"/>
      <c r="AK484"/>
      <c r="AL484"/>
      <c r="AM484"/>
      <c r="AN484"/>
      <c r="AO484"/>
      <c r="AP484"/>
      <c r="AQ484"/>
      <c r="AR484"/>
      <c r="AS484"/>
      <c r="AT484"/>
      <c r="AU484"/>
      <c r="AV484"/>
      <c r="AW484"/>
      <c r="AX484"/>
      <c r="AY484"/>
      <c r="AZ484"/>
      <c r="BA484"/>
      <c r="BB484"/>
      <c r="BC484"/>
      <c r="BD484"/>
      <c r="BE484"/>
      <c r="BF484"/>
      <c r="BG484"/>
      <c r="CK484"/>
      <c r="CL484"/>
      <c r="CM484"/>
      <c r="CN484" s="35">
        <f>IF($BH484="",1,COUNTIF($BH$3:$BH484,$BH484))</f>
        <v>1</v>
      </c>
      <c r="CO484"/>
      <c r="CP484" t="str">
        <f>IF($K484="Standard Match","Match",IF($K484="Name Only Match",IF($CO484="Yes","Match","Name Only Match"),"No Match"))</f>
        <v>No Match</v>
      </c>
      <c r="CQ484" s="35" t="str">
        <f>IF(AND(CP484="Match",CK484&gt;0,CL484&gt;0),"Y","N")</f>
        <v>N</v>
      </c>
      <c r="CR484"/>
      <c r="CS484" t="str">
        <f>IF($CQ484="Y",VLOOKUP($CM484,'SBA Size Standards'!$B$3:$G$57,MATCH('SBA Size Standards'!$G$3,'SBA Size Standards'!$B$3:$G$3,0),FALSE),"")</f>
        <v/>
      </c>
      <c r="CT484" s="60" t="str">
        <f>IF(CQ484="Y",IF($CS484="Employment","N/A",VLOOKUP($CM484,'SBA Size Standards'!$B$3:$G$57,MATCH('SBA Size Standards'!$E$3,'SBA Size Standards'!$B$3:$G$3,0),FALSE)),"")</f>
        <v/>
      </c>
      <c r="CU484" s="86" t="str">
        <f>IF($CQ484="Y",IF($CS484="Revenue","N/A",VLOOKUP($CM484,'SBA Size Standards'!$B$3:$G$57,MATCH('SBA Size Standards'!$F$3,'SBA Size Standards'!$B$3:$G$3,0),FALSE)),"")</f>
        <v/>
      </c>
      <c r="CV484" t="str">
        <f>IF($CQ484="Y",IF(OR(AND($CS484="Employment",$CL484&lt;$CU484),AND($CS484="Revenue",$CK484&lt;$CT484)),"YES","NO"),"")</f>
        <v/>
      </c>
      <c r="CW484" s="90" t="str">
        <f>IF($CQ484="Y",INDEX('SBA Size Standards'!$N$3:$N$12,MATCH($CK484,'SBA Size Standards'!$O$3:$O$12,1)),"")</f>
        <v/>
      </c>
      <c r="CX484" s="122" t="s">
        <v>5046</v>
      </c>
      <c r="CY484" s="122">
        <f>INDEX('NM O&amp;G Production'!$P$3:$P$537,MATCH(CX484,'NM O&amp;G Production'!$Q$3:$Q$537,0))</f>
        <v>451</v>
      </c>
      <c r="CZ484" s="122" t="str">
        <f>INDEX('NM O&amp;G Production'!$O$3:$O$537,MATCH(CY484,'NM O&amp;G Production'!$P$3:$P$537,0))</f>
        <v>Yes</v>
      </c>
      <c r="DA484" s="127">
        <f>INDEX('NM O&amp;G Production'!$K$3:$O$537,MATCH($CY484,'NM O&amp;G Production'!$P$3:$P$537,0),MATCH(DA$2,'NM O&amp;G Production'!$K$2:$O$2,0))</f>
        <v>0</v>
      </c>
      <c r="DB484" s="127">
        <f>INDEX('NM O&amp;G Production'!$K$3:$O$537,MATCH($CY484,'NM O&amp;G Production'!$P$3:$P$537,0),MATCH(DB$2,'NM O&amp;G Production'!$K$2:$O$2,0))</f>
        <v>1</v>
      </c>
      <c r="DC484" s="127"/>
      <c r="DD484" s="127">
        <f>INDEX('NM O&amp;G Production'!$K$3:$O$537,MATCH($CY484,'NM O&amp;G Production'!$P$3:$P$537,0),MATCH(DD$2,'NM O&amp;G Production'!$K$2:$O$2,0))</f>
        <v>10444</v>
      </c>
      <c r="DE484" s="127">
        <f>INDEX('NM O&amp;G Production'!$K$3:$O$537,MATCH($CY484,'NM O&amp;G Production'!$P$3:$P$537,0),MATCH(DE$2,'NM O&amp;G Production'!$K$2:$O$2,0))</f>
        <v>0</v>
      </c>
      <c r="DF484" s="258">
        <f>CK484/(DB484+DA484)</f>
        <v>0</v>
      </c>
      <c r="DG484" s="57">
        <f>DD484*(12/18)*1.06*'Oil and Gas Prices'!$C$18</f>
        <v>17639.219733333332</v>
      </c>
      <c r="DH484" s="284">
        <f>DE484*(12/18)*'Oil and Gas Prices'!$C$4</f>
        <v>0</v>
      </c>
      <c r="DI484" s="284">
        <f>DG484+DH484</f>
        <v>17639.219733333332</v>
      </c>
      <c r="DJ484" s="57">
        <f>(DG484+DH484)/(DA484+DB484)</f>
        <v>17639.219733333332</v>
      </c>
      <c r="DK484" s="18">
        <f>CK484/DI484</f>
        <v>0</v>
      </c>
    </row>
    <row r="485" spans="1:115" x14ac:dyDescent="0.25">
      <c r="A485" t="s">
        <v>2384</v>
      </c>
      <c r="B485" t="s">
        <v>2385</v>
      </c>
      <c r="D485" t="s">
        <v>378</v>
      </c>
      <c r="E485" t="s">
        <v>80</v>
      </c>
      <c r="F485">
        <v>75235</v>
      </c>
      <c r="G485" t="s">
        <v>62</v>
      </c>
      <c r="I485">
        <v>337</v>
      </c>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c r="CL485"/>
      <c r="CM485" s="21"/>
      <c r="CN485" s="61">
        <f>IF($BH485="",1,COUNTIF($BH$3:$BH485,$BH485))</f>
        <v>1</v>
      </c>
      <c r="CP485" t="str">
        <f>IF($K485="Standard Match","Match",IF($K485="Name Only Match",IF($CO485="Yes","Match","Name Only Match"),"No Match"))</f>
        <v>No Match</v>
      </c>
      <c r="CQ485" s="35" t="str">
        <f>IF(AND(CP485="Match",CK485&gt;0,CL485&gt;0),"Y","N")</f>
        <v>N</v>
      </c>
      <c r="CS485" t="str">
        <f>IF($CQ485="Y",VLOOKUP($CM485,'SBA Size Standards'!$B$3:$G$57,MATCH('SBA Size Standards'!$G$3,'SBA Size Standards'!$B$3:$G$3,0),FALSE),"")</f>
        <v/>
      </c>
      <c r="CT485" s="60" t="str">
        <f>IF(CQ485="Y",IF($CS485="Employment","N/A",VLOOKUP($CM485,'SBA Size Standards'!$B$3:$G$57,MATCH('SBA Size Standards'!$E$3,'SBA Size Standards'!$B$3:$G$3,0),FALSE)),"")</f>
        <v/>
      </c>
      <c r="CU485" s="86" t="str">
        <f>IF($CQ485="Y",IF($CS485="Revenue","N/A",VLOOKUP($CM485,'SBA Size Standards'!$B$3:$G$57,MATCH('SBA Size Standards'!$F$3,'SBA Size Standards'!$B$3:$G$3,0),FALSE)),"")</f>
        <v/>
      </c>
      <c r="CV485" t="str">
        <f>IF($CQ485="Y",IF(OR(AND($CS485="Employment",$CL485&lt;$CU485),AND($CS485="Revenue",$CK485&lt;$CT485)),"YES","NO"),"")</f>
        <v/>
      </c>
      <c r="CW485" s="90" t="str">
        <f>IF($CQ485="Y",INDEX('SBA Size Standards'!$N$3:$N$12,MATCH($CK485,'SBA Size Standards'!$O$3:$O$12,1)),"")</f>
        <v/>
      </c>
      <c r="CX485" s="122" t="s">
        <v>5038</v>
      </c>
      <c r="CY485" s="122">
        <f>INDEX('NM O&amp;G Production'!$P$3:$P$537,MATCH(CX485,'NM O&amp;G Production'!$Q$3:$Q$537,0))</f>
        <v>337</v>
      </c>
      <c r="CZ485" s="122" t="str">
        <f>INDEX('NM O&amp;G Production'!$O$3:$O$537,MATCH(CY485,'NM O&amp;G Production'!$P$3:$P$537,0))</f>
        <v>Yes</v>
      </c>
      <c r="DA485" s="127">
        <f>INDEX('NM O&amp;G Production'!$K$3:$O$537,MATCH($CY485,'NM O&amp;G Production'!$P$3:$P$537,0),MATCH(DA$2,'NM O&amp;G Production'!$K$2:$O$2,0))</f>
        <v>0</v>
      </c>
      <c r="DB485" s="127">
        <f>INDEX('NM O&amp;G Production'!$K$3:$O$537,MATCH($CY485,'NM O&amp;G Production'!$P$3:$P$537,0),MATCH(DB$2,'NM O&amp;G Production'!$K$2:$O$2,0))</f>
        <v>1</v>
      </c>
      <c r="DC485" s="127"/>
      <c r="DD485" s="127">
        <f>INDEX('NM O&amp;G Production'!$K$3:$O$537,MATCH($CY485,'NM O&amp;G Production'!$P$3:$P$537,0),MATCH(DD$2,'NM O&amp;G Production'!$K$2:$O$2,0))</f>
        <v>10402</v>
      </c>
      <c r="DE485" s="127">
        <f>INDEX('NM O&amp;G Production'!$K$3:$O$537,MATCH($CY485,'NM O&amp;G Production'!$P$3:$P$537,0),MATCH(DE$2,'NM O&amp;G Production'!$K$2:$O$2,0))</f>
        <v>0</v>
      </c>
      <c r="DF485" s="258">
        <f>CK485/(DB485+DA485)</f>
        <v>0</v>
      </c>
      <c r="DG485" s="57">
        <f>DD485*(12/18)*1.06*'Oil and Gas Prices'!$C$18</f>
        <v>17568.284533333332</v>
      </c>
      <c r="DH485" s="284">
        <f>DE485*(12/18)*'Oil and Gas Prices'!$C$4</f>
        <v>0</v>
      </c>
      <c r="DI485" s="284">
        <f>DG485+DH485</f>
        <v>17568.284533333332</v>
      </c>
      <c r="DJ485" s="57">
        <f>(DG485+DH485)/(DA485+DB485)</f>
        <v>17568.284533333332</v>
      </c>
      <c r="DK485" s="18">
        <f>CK485/DI485</f>
        <v>0</v>
      </c>
    </row>
    <row r="486" spans="1:115" s="21" customFormat="1" x14ac:dyDescent="0.25">
      <c r="A486" t="s">
        <v>1396</v>
      </c>
      <c r="B486" t="s">
        <v>1397</v>
      </c>
      <c r="C486"/>
      <c r="D486" t="s">
        <v>83</v>
      </c>
      <c r="E486" t="s">
        <v>84</v>
      </c>
      <c r="F486">
        <v>88211</v>
      </c>
      <c r="G486" t="s">
        <v>62</v>
      </c>
      <c r="H486"/>
      <c r="I486">
        <v>185</v>
      </c>
      <c r="J486"/>
      <c r="K486"/>
      <c r="L486"/>
      <c r="M486"/>
      <c r="N486"/>
      <c r="P486"/>
      <c r="Q486"/>
      <c r="R486"/>
      <c r="S486"/>
      <c r="T486"/>
      <c r="U486"/>
      <c r="V486"/>
      <c r="W486"/>
      <c r="X486"/>
      <c r="Y486"/>
      <c r="Z486"/>
      <c r="AA486"/>
      <c r="AB486"/>
      <c r="AC486"/>
      <c r="AD486"/>
      <c r="AE486"/>
      <c r="AF486"/>
      <c r="AG486"/>
      <c r="AH486"/>
      <c r="AI486"/>
      <c r="AJ486"/>
      <c r="AK486"/>
      <c r="AL486"/>
      <c r="AM486"/>
      <c r="AN486"/>
      <c r="AO486"/>
      <c r="AP486"/>
      <c r="AQ486"/>
      <c r="AR486"/>
      <c r="AS486"/>
      <c r="AT486"/>
      <c r="AU486"/>
      <c r="AV486"/>
      <c r="AW486"/>
      <c r="AX486"/>
      <c r="AY486"/>
      <c r="AZ486"/>
      <c r="BA486"/>
      <c r="BB486"/>
      <c r="BC486"/>
      <c r="BD486"/>
      <c r="BE486"/>
      <c r="BF486"/>
      <c r="BG486"/>
      <c r="CK486"/>
      <c r="CL486"/>
      <c r="CN486" s="61">
        <f>IF($BH486="",1,COUNTIF($BH$3:$BH486,$BH486))</f>
        <v>1</v>
      </c>
      <c r="CO486"/>
      <c r="CP486" t="str">
        <f>IF($K486="Standard Match","Match",IF($K486="Name Only Match",IF($CO486="Yes","Match","Name Only Match"),"No Match"))</f>
        <v>No Match</v>
      </c>
      <c r="CQ486" s="35" t="str">
        <f>IF(AND(CP486="Match",CK486&gt;0,CL486&gt;0),"Y","N")</f>
        <v>N</v>
      </c>
      <c r="CR486"/>
      <c r="CS486" t="str">
        <f>IF($CQ486="Y",VLOOKUP($CM486,'SBA Size Standards'!$B$3:$G$57,MATCH('SBA Size Standards'!$G$3,'SBA Size Standards'!$B$3:$G$3,0),FALSE),"")</f>
        <v/>
      </c>
      <c r="CT486" s="60" t="str">
        <f>IF(CQ486="Y",IF($CS486="Employment","N/A",VLOOKUP($CM486,'SBA Size Standards'!$B$3:$G$57,MATCH('SBA Size Standards'!$E$3,'SBA Size Standards'!$B$3:$G$3,0),FALSE)),"")</f>
        <v/>
      </c>
      <c r="CU486" s="86" t="str">
        <f>IF($CQ486="Y",IF($CS486="Revenue","N/A",VLOOKUP($CM486,'SBA Size Standards'!$B$3:$G$57,MATCH('SBA Size Standards'!$F$3,'SBA Size Standards'!$B$3:$G$3,0),FALSE)),"")</f>
        <v/>
      </c>
      <c r="CV486" t="str">
        <f>IF($CQ486="Y",IF(OR(AND($CS486="Employment",$CL486&lt;$CU486),AND($CS486="Revenue",$CK486&lt;$CT486)),"YES","NO"),"")</f>
        <v/>
      </c>
      <c r="CW486" s="90" t="str">
        <f>IF($CQ486="Y",INDEX('SBA Size Standards'!$N$3:$N$12,MATCH($CK486,'SBA Size Standards'!$O$3:$O$12,1)),"")</f>
        <v/>
      </c>
      <c r="CX486" s="122" t="s">
        <v>5020</v>
      </c>
      <c r="CY486" s="122">
        <f>INDEX('NM O&amp;G Production'!$P$3:$P$537,MATCH(CX486,'NM O&amp;G Production'!$Q$3:$Q$537,0))</f>
        <v>185</v>
      </c>
      <c r="CZ486" s="122" t="str">
        <f>INDEX('NM O&amp;G Production'!$O$3:$O$537,MATCH(CY486,'NM O&amp;G Production'!$P$3:$P$537,0))</f>
        <v>Yes</v>
      </c>
      <c r="DA486" s="127">
        <f>INDEX('NM O&amp;G Production'!$K$3:$O$537,MATCH($CY486,'NM O&amp;G Production'!$P$3:$P$537,0),MATCH(DA$2,'NM O&amp;G Production'!$K$2:$O$2,0))</f>
        <v>4</v>
      </c>
      <c r="DB486" s="127">
        <f>INDEX('NM O&amp;G Production'!$K$3:$O$537,MATCH($CY486,'NM O&amp;G Production'!$P$3:$P$537,0),MATCH(DB$2,'NM O&amp;G Production'!$K$2:$O$2,0))</f>
        <v>309</v>
      </c>
      <c r="DC486" s="127"/>
      <c r="DD486" s="127">
        <f>INDEX('NM O&amp;G Production'!$K$3:$O$537,MATCH($CY486,'NM O&amp;G Production'!$P$3:$P$537,0),MATCH(DD$2,'NM O&amp;G Production'!$K$2:$O$2,0))</f>
        <v>32965</v>
      </c>
      <c r="DE486" s="127">
        <f>INDEX('NM O&amp;G Production'!$K$3:$O$537,MATCH($CY486,'NM O&amp;G Production'!$P$3:$P$537,0),MATCH(DE$2,'NM O&amp;G Production'!$K$2:$O$2,0))</f>
        <v>166034</v>
      </c>
      <c r="DF486" s="258">
        <f>CK486/(DB486+DA486)</f>
        <v>0</v>
      </c>
      <c r="DG486" s="57">
        <f>DD486*(12/18)*1.06*'Oil and Gas Prices'!$C$18</f>
        <v>55675.687333333335</v>
      </c>
      <c r="DH486" s="284">
        <f>DE486*(12/18)*'Oil and Gas Prices'!$C$4</f>
        <v>4981020</v>
      </c>
      <c r="DI486" s="284">
        <f>DG486+DH486</f>
        <v>5036695.6873333333</v>
      </c>
      <c r="DJ486" s="57">
        <f>(DG486+DH486)/(DA486+DB486)</f>
        <v>16091.679512247072</v>
      </c>
      <c r="DK486" s="18">
        <f>CK486/DI486</f>
        <v>0</v>
      </c>
    </row>
    <row r="487" spans="1:115" x14ac:dyDescent="0.25">
      <c r="A487" t="s">
        <v>2397</v>
      </c>
      <c r="B487" t="s">
        <v>2398</v>
      </c>
      <c r="D487" t="s">
        <v>2399</v>
      </c>
      <c r="E487" t="s">
        <v>80</v>
      </c>
      <c r="F487">
        <v>77902</v>
      </c>
      <c r="G487" t="s">
        <v>62</v>
      </c>
      <c r="I487">
        <v>340</v>
      </c>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c r="CL487"/>
      <c r="CM487" s="21"/>
      <c r="CN487" s="61">
        <f>IF($BH487="",1,COUNTIF($BH$3:$BH487,$BH487))</f>
        <v>1</v>
      </c>
      <c r="CP487" t="str">
        <f>IF($K487="Standard Match","Match",IF($K487="Name Only Match",IF($CO487="Yes","Match","Name Only Match"),"No Match"))</f>
        <v>No Match</v>
      </c>
      <c r="CQ487" s="35" t="str">
        <f>IF(AND(CP487="Match",CK487&gt;0,CL487&gt;0),"Y","N")</f>
        <v>N</v>
      </c>
      <c r="CS487" t="str">
        <f>IF($CQ487="Y",VLOOKUP($CM487,'SBA Size Standards'!$B$3:$G$57,MATCH('SBA Size Standards'!$G$3,'SBA Size Standards'!$B$3:$G$3,0),FALSE),"")</f>
        <v/>
      </c>
      <c r="CT487" s="60" t="str">
        <f>IF(CQ487="Y",IF($CS487="Employment","N/A",VLOOKUP($CM487,'SBA Size Standards'!$B$3:$G$57,MATCH('SBA Size Standards'!$E$3,'SBA Size Standards'!$B$3:$G$3,0),FALSE)),"")</f>
        <v/>
      </c>
      <c r="CU487" s="86" t="str">
        <f>IF($CQ487="Y",IF($CS487="Revenue","N/A",VLOOKUP($CM487,'SBA Size Standards'!$B$3:$G$57,MATCH('SBA Size Standards'!$F$3,'SBA Size Standards'!$B$3:$G$3,0),FALSE)),"")</f>
        <v/>
      </c>
      <c r="CV487" t="str">
        <f>IF($CQ487="Y",IF(OR(AND($CS487="Employment",$CL487&lt;$CU487),AND($CS487="Revenue",$CK487&lt;$CT487)),"YES","NO"),"")</f>
        <v/>
      </c>
      <c r="CW487" s="90" t="str">
        <f>IF($CQ487="Y",INDEX('SBA Size Standards'!$N$3:$N$12,MATCH($CK487,'SBA Size Standards'!$O$3:$O$12,1)),"")</f>
        <v/>
      </c>
      <c r="CX487" s="122" t="s">
        <v>5039</v>
      </c>
      <c r="CY487" s="122">
        <f>INDEX('NM O&amp;G Production'!$P$3:$P$537,MATCH(CX487,'NM O&amp;G Production'!$Q$3:$Q$537,0))</f>
        <v>340</v>
      </c>
      <c r="CZ487" s="122" t="str">
        <f>INDEX('NM O&amp;G Production'!$O$3:$O$537,MATCH(CY487,'NM O&amp;G Production'!$P$3:$P$537,0))</f>
        <v>Yes</v>
      </c>
      <c r="DA487" s="127">
        <f>INDEX('NM O&amp;G Production'!$K$3:$O$537,MATCH($CY487,'NM O&amp;G Production'!$P$3:$P$537,0),MATCH(DA$2,'NM O&amp;G Production'!$K$2:$O$2,0))</f>
        <v>2</v>
      </c>
      <c r="DB487" s="127">
        <f>INDEX('NM O&amp;G Production'!$K$3:$O$537,MATCH($CY487,'NM O&amp;G Production'!$P$3:$P$537,0),MATCH(DB$2,'NM O&amp;G Production'!$K$2:$O$2,0))</f>
        <v>19</v>
      </c>
      <c r="DC487" s="127"/>
      <c r="DD487" s="127">
        <f>INDEX('NM O&amp;G Production'!$K$3:$O$537,MATCH($CY487,'NM O&amp;G Production'!$P$3:$P$537,0),MATCH(DD$2,'NM O&amp;G Production'!$K$2:$O$2,0))</f>
        <v>115958</v>
      </c>
      <c r="DE487" s="127">
        <f>INDEX('NM O&amp;G Production'!$K$3:$O$537,MATCH($CY487,'NM O&amp;G Production'!$P$3:$P$537,0),MATCH(DE$2,'NM O&amp;G Production'!$K$2:$O$2,0))</f>
        <v>3228</v>
      </c>
      <c r="DF487" s="258">
        <f>CK487/(DB487+DA487)</f>
        <v>0</v>
      </c>
      <c r="DG487" s="57">
        <f>DD487*(12/18)*1.06*'Oil and Gas Prices'!$C$18</f>
        <v>195845.33146666668</v>
      </c>
      <c r="DH487" s="284">
        <f>DE487*(12/18)*'Oil and Gas Prices'!$C$4</f>
        <v>96840</v>
      </c>
      <c r="DI487" s="284">
        <f>DG487+DH487</f>
        <v>292685.33146666666</v>
      </c>
      <c r="DJ487" s="57">
        <f>(DG487+DH487)/(DA487+DB487)</f>
        <v>13937.396736507935</v>
      </c>
      <c r="DK487" s="18">
        <f>CK487/DI487</f>
        <v>0</v>
      </c>
    </row>
    <row r="488" spans="1:115" x14ac:dyDescent="0.25">
      <c r="A488" t="s">
        <v>2458</v>
      </c>
      <c r="B488" t="s">
        <v>2459</v>
      </c>
      <c r="D488" t="s">
        <v>209</v>
      </c>
      <c r="E488" t="s">
        <v>84</v>
      </c>
      <c r="F488">
        <v>88202</v>
      </c>
      <c r="G488" t="s">
        <v>62</v>
      </c>
      <c r="I488">
        <v>351</v>
      </c>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c r="CL488"/>
      <c r="CM488" s="21"/>
      <c r="CN488" s="61">
        <f>IF($BH488="",1,COUNTIF($BH$3:$BH488,$BH488))</f>
        <v>1</v>
      </c>
      <c r="CP488" t="str">
        <f>IF($K488="Standard Match","Match",IF($K488="Name Only Match",IF($CO488="Yes","Match","Name Only Match"),"No Match"))</f>
        <v>No Match</v>
      </c>
      <c r="CQ488" s="35" t="str">
        <f>IF(AND(CP488="Match",CK488&gt;0,CL488&gt;0),"Y","N")</f>
        <v>N</v>
      </c>
      <c r="CS488" t="str">
        <f>IF($CQ488="Y",VLOOKUP($CM488,'SBA Size Standards'!$B$3:$G$57,MATCH('SBA Size Standards'!$G$3,'SBA Size Standards'!$B$3:$G$3,0),FALSE),"")</f>
        <v/>
      </c>
      <c r="CT488" s="60" t="str">
        <f>IF(CQ488="Y",IF($CS488="Employment","N/A",VLOOKUP($CM488,'SBA Size Standards'!$B$3:$G$57,MATCH('SBA Size Standards'!$E$3,'SBA Size Standards'!$B$3:$G$3,0),FALSE)),"")</f>
        <v/>
      </c>
      <c r="CU488" s="86" t="str">
        <f>IF($CQ488="Y",IF($CS488="Revenue","N/A",VLOOKUP($CM488,'SBA Size Standards'!$B$3:$G$57,MATCH('SBA Size Standards'!$F$3,'SBA Size Standards'!$B$3:$G$3,0),FALSE)),"")</f>
        <v/>
      </c>
      <c r="CV488" t="str">
        <f>IF($CQ488="Y",IF(OR(AND($CS488="Employment",$CL488&lt;$CU488),AND($CS488="Revenue",$CK488&lt;$CT488)),"YES","NO"),"")</f>
        <v/>
      </c>
      <c r="CW488" s="90" t="str">
        <f>IF($CQ488="Y",INDEX('SBA Size Standards'!$N$3:$N$12,MATCH($CK488,'SBA Size Standards'!$O$3:$O$12,1)),"")</f>
        <v/>
      </c>
      <c r="CX488" s="122" t="s">
        <v>5041</v>
      </c>
      <c r="CY488" s="122">
        <f>INDEX('NM O&amp;G Production'!$P$3:$P$537,MATCH(CX488,'NM O&amp;G Production'!$Q$3:$Q$537,0))</f>
        <v>351</v>
      </c>
      <c r="CZ488" s="122" t="str">
        <f>INDEX('NM O&amp;G Production'!$O$3:$O$537,MATCH(CY488,'NM O&amp;G Production'!$P$3:$P$537,0))</f>
        <v>Yes</v>
      </c>
      <c r="DA488" s="127">
        <f>INDEX('NM O&amp;G Production'!$K$3:$O$537,MATCH($CY488,'NM O&amp;G Production'!$P$3:$P$537,0),MATCH(DA$2,'NM O&amp;G Production'!$K$2:$O$2,0))</f>
        <v>4</v>
      </c>
      <c r="DB488" s="127">
        <f>INDEX('NM O&amp;G Production'!$K$3:$O$537,MATCH($CY488,'NM O&amp;G Production'!$P$3:$P$537,0),MATCH(DB$2,'NM O&amp;G Production'!$K$2:$O$2,0))</f>
        <v>30</v>
      </c>
      <c r="DC488" s="127"/>
      <c r="DD488" s="127">
        <f>INDEX('NM O&amp;G Production'!$K$3:$O$537,MATCH($CY488,'NM O&amp;G Production'!$P$3:$P$537,0),MATCH(DD$2,'NM O&amp;G Production'!$K$2:$O$2,0))</f>
        <v>261289</v>
      </c>
      <c r="DE488" s="127">
        <f>INDEX('NM O&amp;G Production'!$K$3:$O$537,MATCH($CY488,'NM O&amp;G Production'!$P$3:$P$537,0),MATCH(DE$2,'NM O&amp;G Production'!$K$2:$O$2,0))</f>
        <v>0</v>
      </c>
      <c r="DF488" s="258">
        <f>CK488/(DB488+DA488)</f>
        <v>0</v>
      </c>
      <c r="DG488" s="57">
        <f>DD488*(12/18)*1.06*'Oil and Gas Prices'!$C$18</f>
        <v>441299.70173333335</v>
      </c>
      <c r="DH488" s="284">
        <f>DE488*(12/18)*'Oil and Gas Prices'!$C$4</f>
        <v>0</v>
      </c>
      <c r="DI488" s="284">
        <f>DG488+DH488</f>
        <v>441299.70173333335</v>
      </c>
      <c r="DJ488" s="57">
        <f>(DG488+DH488)/(DA488+DB488)</f>
        <v>12979.402992156864</v>
      </c>
      <c r="DK488" s="18">
        <f>CK488/DI488</f>
        <v>0</v>
      </c>
    </row>
    <row r="489" spans="1:115" x14ac:dyDescent="0.25">
      <c r="A489" t="s">
        <v>77</v>
      </c>
      <c r="B489" t="s">
        <v>78</v>
      </c>
      <c r="D489" t="s">
        <v>79</v>
      </c>
      <c r="E489" t="s">
        <v>80</v>
      </c>
      <c r="F489">
        <v>79424</v>
      </c>
      <c r="G489" t="s">
        <v>62</v>
      </c>
      <c r="I489">
        <v>2</v>
      </c>
      <c r="O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c r="CL489"/>
      <c r="CM489" s="21"/>
      <c r="CN489" s="61">
        <f>IF($BH489="",1,COUNTIF($BH$3:$BH489,$BH489))</f>
        <v>1</v>
      </c>
      <c r="CP489" t="str">
        <f>IF($K489="Standard Match","Match",IF($K489="Name Only Match",IF($CO489="Yes","Match","Name Only Match"),"No Match"))</f>
        <v>No Match</v>
      </c>
      <c r="CQ489" s="35" t="str">
        <f>IF(AND(CP489="Match",CK489&gt;0,CL489&gt;0),"Y","N")</f>
        <v>N</v>
      </c>
      <c r="CS489" t="str">
        <f>IF($CQ489="Y",VLOOKUP($CM489,'SBA Size Standards'!$B$3:$G$57,MATCH('SBA Size Standards'!$G$3,'SBA Size Standards'!$B$3:$G$3,0),FALSE),"")</f>
        <v/>
      </c>
      <c r="CT489" s="60" t="str">
        <f>IF(CQ489="Y",IF($CS489="Employment","N/A",VLOOKUP($CM489,'SBA Size Standards'!$B$3:$G$57,MATCH('SBA Size Standards'!$E$3,'SBA Size Standards'!$B$3:$G$3,0),FALSE)),"")</f>
        <v/>
      </c>
      <c r="CU489" s="86" t="str">
        <f>IF($CQ489="Y",IF($CS489="Revenue","N/A",VLOOKUP($CM489,'SBA Size Standards'!$B$3:$G$57,MATCH('SBA Size Standards'!$F$3,'SBA Size Standards'!$B$3:$G$3,0),FALSE)),"")</f>
        <v/>
      </c>
      <c r="CV489" t="str">
        <f>IF($CQ489="Y",IF(OR(AND($CS489="Employment",$CL489&lt;$CU489),AND($CS489="Revenue",$CK489&lt;$CT489)),"YES","NO"),"")</f>
        <v/>
      </c>
      <c r="CW489" s="90" t="str">
        <f>IF($CQ489="Y",INDEX('SBA Size Standards'!$N$3:$N$12,MATCH($CK489,'SBA Size Standards'!$O$3:$O$12,1)),"")</f>
        <v/>
      </c>
      <c r="CX489" s="122" t="s">
        <v>5006</v>
      </c>
      <c r="CY489" s="122">
        <f>INDEX('NM O&amp;G Production'!$P$3:$P$537,MATCH(CX489,'NM O&amp;G Production'!$Q$3:$Q$537,0))</f>
        <v>2</v>
      </c>
      <c r="CZ489" s="122" t="str">
        <f>INDEX('NM O&amp;G Production'!$O$3:$O$537,MATCH(CY489,'NM O&amp;G Production'!$P$3:$P$537,0))</f>
        <v>Yes</v>
      </c>
      <c r="DA489" s="127">
        <f>INDEX('NM O&amp;G Production'!$K$3:$O$537,MATCH($CY489,'NM O&amp;G Production'!$P$3:$P$537,0),MATCH(DA$2,'NM O&amp;G Production'!$K$2:$O$2,0))</f>
        <v>5</v>
      </c>
      <c r="DB489" s="127">
        <f>INDEX('NM O&amp;G Production'!$K$3:$O$537,MATCH($CY489,'NM O&amp;G Production'!$P$3:$P$537,0),MATCH(DB$2,'NM O&amp;G Production'!$K$2:$O$2,0))</f>
        <v>0</v>
      </c>
      <c r="DC489" s="127"/>
      <c r="DD489" s="127">
        <f>INDEX('NM O&amp;G Production'!$K$3:$O$537,MATCH($CY489,'NM O&amp;G Production'!$P$3:$P$537,0),MATCH(DD$2,'NM O&amp;G Production'!$K$2:$O$2,0))</f>
        <v>0</v>
      </c>
      <c r="DE489" s="127">
        <f>INDEX('NM O&amp;G Production'!$K$3:$O$537,MATCH($CY489,'NM O&amp;G Production'!$P$3:$P$537,0),MATCH(DE$2,'NM O&amp;G Production'!$K$2:$O$2,0))</f>
        <v>2085</v>
      </c>
      <c r="DF489" s="258">
        <f>CK489/(DB489+DA489)</f>
        <v>0</v>
      </c>
      <c r="DG489" s="57">
        <f>DD489*(12/18)*1.06*'Oil and Gas Prices'!$C$18</f>
        <v>0</v>
      </c>
      <c r="DH489" s="284">
        <f>DE489*(12/18)*'Oil and Gas Prices'!$C$4</f>
        <v>62550</v>
      </c>
      <c r="DI489" s="284">
        <f>DG489+DH489</f>
        <v>62550</v>
      </c>
      <c r="DJ489" s="57">
        <f>(DG489+DH489)/(DA489+DB489)</f>
        <v>12510</v>
      </c>
      <c r="DK489" s="18">
        <f>CK489/DI489</f>
        <v>0</v>
      </c>
    </row>
    <row r="490" spans="1:115" x14ac:dyDescent="0.25">
      <c r="A490" t="s">
        <v>1686</v>
      </c>
      <c r="B490" t="s">
        <v>1687</v>
      </c>
      <c r="D490" t="s">
        <v>1073</v>
      </c>
      <c r="E490" t="s">
        <v>84</v>
      </c>
      <c r="F490">
        <v>87125</v>
      </c>
      <c r="G490" t="s">
        <v>62</v>
      </c>
      <c r="I490">
        <v>230</v>
      </c>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c r="CL490"/>
      <c r="CM490" s="21"/>
      <c r="CN490" s="61">
        <f>IF($BH490="",1,COUNTIF($BH$3:$BH490,$BH490))</f>
        <v>1</v>
      </c>
      <c r="CP490" t="str">
        <f>IF($K490="Standard Match","Match",IF($K490="Name Only Match",IF($CO490="Yes","Match","Name Only Match"),"No Match"))</f>
        <v>No Match</v>
      </c>
      <c r="CQ490" s="35" t="str">
        <f>IF(AND(CP490="Match",CK490&gt;0,CL490&gt;0),"Y","N")</f>
        <v>N</v>
      </c>
      <c r="CS490" t="str">
        <f>IF($CQ490="Y",VLOOKUP($CM490,'SBA Size Standards'!$B$3:$G$57,MATCH('SBA Size Standards'!$G$3,'SBA Size Standards'!$B$3:$G$3,0),FALSE),"")</f>
        <v/>
      </c>
      <c r="CT490" s="60" t="str">
        <f>IF(CQ490="Y",IF($CS490="Employment","N/A",VLOOKUP($CM490,'SBA Size Standards'!$B$3:$G$57,MATCH('SBA Size Standards'!$E$3,'SBA Size Standards'!$B$3:$G$3,0),FALSE)),"")</f>
        <v/>
      </c>
      <c r="CU490" s="86" t="str">
        <f>IF($CQ490="Y",IF($CS490="Revenue","N/A",VLOOKUP($CM490,'SBA Size Standards'!$B$3:$G$57,MATCH('SBA Size Standards'!$F$3,'SBA Size Standards'!$B$3:$G$3,0),FALSE)),"")</f>
        <v/>
      </c>
      <c r="CV490" t="str">
        <f>IF($CQ490="Y",IF(OR(AND($CS490="Employment",$CL490&lt;$CU490),AND($CS490="Revenue",$CK490&lt;$CT490)),"YES","NO"),"")</f>
        <v/>
      </c>
      <c r="CW490" s="90" t="str">
        <f>IF($CQ490="Y",INDEX('SBA Size Standards'!$N$3:$N$12,MATCH($CK490,'SBA Size Standards'!$O$3:$O$12,1)),"")</f>
        <v/>
      </c>
      <c r="CX490" s="122" t="s">
        <v>5026</v>
      </c>
      <c r="CY490" s="122">
        <f>INDEX('NM O&amp;G Production'!$P$3:$P$537,MATCH(CX490,'NM O&amp;G Production'!$Q$3:$Q$537,0))</f>
        <v>230</v>
      </c>
      <c r="CZ490" s="122" t="str">
        <f>INDEX('NM O&amp;G Production'!$O$3:$O$537,MATCH(CY490,'NM O&amp;G Production'!$P$3:$P$537,0))</f>
        <v>Yes</v>
      </c>
      <c r="DA490" s="127">
        <f>INDEX('NM O&amp;G Production'!$K$3:$O$537,MATCH($CY490,'NM O&amp;G Production'!$P$3:$P$537,0),MATCH(DA$2,'NM O&amp;G Production'!$K$2:$O$2,0))</f>
        <v>0</v>
      </c>
      <c r="DB490" s="127">
        <f>INDEX('NM O&amp;G Production'!$K$3:$O$537,MATCH($CY490,'NM O&amp;G Production'!$P$3:$P$537,0),MATCH(DB$2,'NM O&amp;G Production'!$K$2:$O$2,0))</f>
        <v>10</v>
      </c>
      <c r="DC490" s="127"/>
      <c r="DD490" s="127">
        <f>INDEX('NM O&amp;G Production'!$K$3:$O$537,MATCH($CY490,'NM O&amp;G Production'!$P$3:$P$537,0),MATCH(DD$2,'NM O&amp;G Production'!$K$2:$O$2,0))</f>
        <v>62710</v>
      </c>
      <c r="DE490" s="127">
        <f>INDEX('NM O&amp;G Production'!$K$3:$O$537,MATCH($CY490,'NM O&amp;G Production'!$P$3:$P$537,0),MATCH(DE$2,'NM O&amp;G Production'!$K$2:$O$2,0))</f>
        <v>30</v>
      </c>
      <c r="DF490" s="258">
        <f>CK490/(DB490+DA490)</f>
        <v>0</v>
      </c>
      <c r="DG490" s="57">
        <f>DD490*(12/18)*1.06*'Oil and Gas Prices'!$C$18</f>
        <v>105913.00933333334</v>
      </c>
      <c r="DH490" s="284">
        <f>DE490*(12/18)*'Oil and Gas Prices'!$C$4</f>
        <v>900</v>
      </c>
      <c r="DI490" s="284">
        <f>DG490+DH490</f>
        <v>106813.00933333334</v>
      </c>
      <c r="DJ490" s="57">
        <f>(DG490+DH490)/(DA490+DB490)</f>
        <v>10681.300933333334</v>
      </c>
      <c r="DK490" s="18">
        <f>CK490/DI490</f>
        <v>0</v>
      </c>
    </row>
    <row r="491" spans="1:115" x14ac:dyDescent="0.25">
      <c r="A491" t="s">
        <v>342</v>
      </c>
      <c r="B491" t="s">
        <v>343</v>
      </c>
      <c r="D491" t="s">
        <v>344</v>
      </c>
      <c r="E491" t="s">
        <v>80</v>
      </c>
      <c r="F491">
        <v>79714</v>
      </c>
      <c r="G491" t="s">
        <v>62</v>
      </c>
      <c r="I491">
        <v>38</v>
      </c>
      <c r="O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c r="CL491"/>
      <c r="CM491" s="21"/>
      <c r="CN491" s="61">
        <f>IF($BH491="",1,COUNTIF($BH$3:$BH491,$BH491))</f>
        <v>1</v>
      </c>
      <c r="CP491" t="str">
        <f>IF($K491="Standard Match","Match",IF($K491="Name Only Match",IF($CO491="Yes","Match","Name Only Match"),"No Match"))</f>
        <v>No Match</v>
      </c>
      <c r="CQ491" s="35" t="str">
        <f>IF(AND(CP491="Match",CK491&gt;0,CL491&gt;0),"Y","N")</f>
        <v>N</v>
      </c>
      <c r="CS491" t="str">
        <f>IF($CQ491="Y",VLOOKUP($CM491,'SBA Size Standards'!$B$3:$G$57,MATCH('SBA Size Standards'!$G$3,'SBA Size Standards'!$B$3:$G$3,0),FALSE),"")</f>
        <v/>
      </c>
      <c r="CT491" s="60" t="str">
        <f>IF(CQ491="Y",IF($CS491="Employment","N/A",VLOOKUP($CM491,'SBA Size Standards'!$B$3:$G$57,MATCH('SBA Size Standards'!$E$3,'SBA Size Standards'!$B$3:$G$3,0),FALSE)),"")</f>
        <v/>
      </c>
      <c r="CU491" s="86" t="str">
        <f>IF($CQ491="Y",IF($CS491="Revenue","N/A",VLOOKUP($CM491,'SBA Size Standards'!$B$3:$G$57,MATCH('SBA Size Standards'!$F$3,'SBA Size Standards'!$B$3:$G$3,0),FALSE)),"")</f>
        <v/>
      </c>
      <c r="CV491" t="str">
        <f>IF($CQ491="Y",IF(OR(AND($CS491="Employment",$CL491&lt;$CU491),AND($CS491="Revenue",$CK491&lt;$CT491)),"YES","NO"),"")</f>
        <v/>
      </c>
      <c r="CW491" s="90" t="str">
        <f>IF($CQ491="Y",INDEX('SBA Size Standards'!$N$3:$N$12,MATCH($CK491,'SBA Size Standards'!$O$3:$O$12,1)),"")</f>
        <v/>
      </c>
      <c r="CX491" s="122" t="s">
        <v>5011</v>
      </c>
      <c r="CY491" s="122">
        <f>INDEX('NM O&amp;G Production'!$P$3:$P$537,MATCH(CX491,'NM O&amp;G Production'!$Q$3:$Q$537,0))</f>
        <v>38</v>
      </c>
      <c r="CZ491" s="122" t="str">
        <f>INDEX('NM O&amp;G Production'!$O$3:$O$537,MATCH(CY491,'NM O&amp;G Production'!$P$3:$P$537,0))</f>
        <v>Yes</v>
      </c>
      <c r="DA491" s="127">
        <f>INDEX('NM O&amp;G Production'!$K$3:$O$537,MATCH($CY491,'NM O&amp;G Production'!$P$3:$P$537,0),MATCH(DA$2,'NM O&amp;G Production'!$K$2:$O$2,0))</f>
        <v>0</v>
      </c>
      <c r="DB491" s="127">
        <f>INDEX('NM O&amp;G Production'!$K$3:$O$537,MATCH($CY491,'NM O&amp;G Production'!$P$3:$P$537,0),MATCH(DB$2,'NM O&amp;G Production'!$K$2:$O$2,0))</f>
        <v>3</v>
      </c>
      <c r="DC491" s="127"/>
      <c r="DD491" s="127">
        <f>INDEX('NM O&amp;G Production'!$K$3:$O$537,MATCH($CY491,'NM O&amp;G Production'!$P$3:$P$537,0),MATCH(DD$2,'NM O&amp;G Production'!$K$2:$O$2,0))</f>
        <v>12345</v>
      </c>
      <c r="DE491" s="127">
        <f>INDEX('NM O&amp;G Production'!$K$3:$O$537,MATCH($CY491,'NM O&amp;G Production'!$P$3:$P$537,0),MATCH(DE$2,'NM O&amp;G Production'!$K$2:$O$2,0))</f>
        <v>361</v>
      </c>
      <c r="DF491" s="258">
        <f>CK491/(DB491+DA491)</f>
        <v>0</v>
      </c>
      <c r="DG491" s="57">
        <f>DD491*(12/18)*1.06*'Oil and Gas Prices'!$C$18</f>
        <v>20849.882000000005</v>
      </c>
      <c r="DH491" s="284">
        <f>DE491*(12/18)*'Oil and Gas Prices'!$C$4</f>
        <v>10830</v>
      </c>
      <c r="DI491" s="284">
        <f>DG491+DH491</f>
        <v>31679.882000000005</v>
      </c>
      <c r="DJ491" s="57">
        <f>(DG491+DH491)/(DA491+DB491)</f>
        <v>10559.960666666668</v>
      </c>
      <c r="DK491" s="18">
        <f>CK491/DI491</f>
        <v>0</v>
      </c>
    </row>
    <row r="492" spans="1:115" x14ac:dyDescent="0.25">
      <c r="A492" t="s">
        <v>355</v>
      </c>
      <c r="B492" t="s">
        <v>356</v>
      </c>
      <c r="D492" t="s">
        <v>153</v>
      </c>
      <c r="E492" t="s">
        <v>80</v>
      </c>
      <c r="F492">
        <v>79706</v>
      </c>
      <c r="G492" t="s">
        <v>62</v>
      </c>
      <c r="I492">
        <v>40</v>
      </c>
      <c r="O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c r="CL492"/>
      <c r="CM492" s="21"/>
      <c r="CN492" s="61">
        <f>IF($BH492="",1,COUNTIF($BH$3:$BH492,$BH492))</f>
        <v>1</v>
      </c>
      <c r="CP492" t="str">
        <f>IF($K492="Standard Match","Match",IF($K492="Name Only Match",IF($CO492="Yes","Match","Name Only Match"),"No Match"))</f>
        <v>No Match</v>
      </c>
      <c r="CQ492" s="35" t="str">
        <f>IF(AND(CP492="Match",CK492&gt;0,CL492&gt;0),"Y","N")</f>
        <v>N</v>
      </c>
      <c r="CS492" t="str">
        <f>IF($CQ492="Y",VLOOKUP($CM492,'SBA Size Standards'!$B$3:$G$57,MATCH('SBA Size Standards'!$G$3,'SBA Size Standards'!$B$3:$G$3,0),FALSE),"")</f>
        <v/>
      </c>
      <c r="CT492" s="60" t="str">
        <f>IF(CQ492="Y",IF($CS492="Employment","N/A",VLOOKUP($CM492,'SBA Size Standards'!$B$3:$G$57,MATCH('SBA Size Standards'!$E$3,'SBA Size Standards'!$B$3:$G$3,0),FALSE)),"")</f>
        <v/>
      </c>
      <c r="CU492" s="86" t="str">
        <f>IF($CQ492="Y",IF($CS492="Revenue","N/A",VLOOKUP($CM492,'SBA Size Standards'!$B$3:$G$57,MATCH('SBA Size Standards'!$F$3,'SBA Size Standards'!$B$3:$G$3,0),FALSE)),"")</f>
        <v/>
      </c>
      <c r="CV492" t="str">
        <f>IF($CQ492="Y",IF(OR(AND($CS492="Employment",$CL492&lt;$CU492),AND($CS492="Revenue",$CK492&lt;$CT492)),"YES","NO"),"")</f>
        <v/>
      </c>
      <c r="CW492" s="90" t="str">
        <f>IF($CQ492="Y",INDEX('SBA Size Standards'!$N$3:$N$12,MATCH($CK492,'SBA Size Standards'!$O$3:$O$12,1)),"")</f>
        <v/>
      </c>
      <c r="CX492" s="122" t="s">
        <v>5012</v>
      </c>
      <c r="CY492" s="122">
        <f>INDEX('NM O&amp;G Production'!$P$3:$P$537,MATCH(CX492,'NM O&amp;G Production'!$Q$3:$Q$537,0))</f>
        <v>40</v>
      </c>
      <c r="CZ492" s="122" t="str">
        <f>INDEX('NM O&amp;G Production'!$O$3:$O$537,MATCH(CY492,'NM O&amp;G Production'!$P$3:$P$537,0))</f>
        <v>Yes</v>
      </c>
      <c r="DA492" s="127">
        <f>INDEX('NM O&amp;G Production'!$K$3:$O$537,MATCH($CY492,'NM O&amp;G Production'!$P$3:$P$537,0),MATCH(DA$2,'NM O&amp;G Production'!$K$2:$O$2,0))</f>
        <v>3</v>
      </c>
      <c r="DB492" s="127">
        <f>INDEX('NM O&amp;G Production'!$K$3:$O$537,MATCH($CY492,'NM O&amp;G Production'!$P$3:$P$537,0),MATCH(DB$2,'NM O&amp;G Production'!$K$2:$O$2,0))</f>
        <v>3</v>
      </c>
      <c r="DC492" s="127"/>
      <c r="DD492" s="127">
        <f>INDEX('NM O&amp;G Production'!$K$3:$O$537,MATCH($CY492,'NM O&amp;G Production'!$P$3:$P$537,0),MATCH(DD$2,'NM O&amp;G Production'!$K$2:$O$2,0))</f>
        <v>2967</v>
      </c>
      <c r="DE492" s="127">
        <f>INDEX('NM O&amp;G Production'!$K$3:$O$537,MATCH($CY492,'NM O&amp;G Production'!$P$3:$P$537,0),MATCH(DE$2,'NM O&amp;G Production'!$K$2:$O$2,0))</f>
        <v>1838</v>
      </c>
      <c r="DF492" s="258">
        <f>CK492/(DB492+DA492)</f>
        <v>0</v>
      </c>
      <c r="DG492" s="57">
        <f>DD492*(12/18)*1.06*'Oil and Gas Prices'!$C$18</f>
        <v>5011.0652000000009</v>
      </c>
      <c r="DH492" s="284">
        <f>DE492*(12/18)*'Oil and Gas Prices'!$C$4</f>
        <v>55140</v>
      </c>
      <c r="DI492" s="284">
        <f>DG492+DH492</f>
        <v>60151.065199999997</v>
      </c>
      <c r="DJ492" s="57">
        <f>(DG492+DH492)/(DA492+DB492)</f>
        <v>10025.177533333333</v>
      </c>
      <c r="DK492" s="18">
        <f>CK492/DI492</f>
        <v>0</v>
      </c>
    </row>
    <row r="493" spans="1:115" x14ac:dyDescent="0.25">
      <c r="A493" t="s">
        <v>2606</v>
      </c>
      <c r="B493" t="s">
        <v>2607</v>
      </c>
      <c r="C493" t="s">
        <v>2608</v>
      </c>
      <c r="D493" t="s">
        <v>2609</v>
      </c>
      <c r="E493" t="s">
        <v>84</v>
      </c>
      <c r="F493">
        <v>88338</v>
      </c>
      <c r="G493" t="s">
        <v>62</v>
      </c>
      <c r="I493">
        <v>375</v>
      </c>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c r="CL493"/>
      <c r="CM493" s="21"/>
      <c r="CN493" s="61">
        <f>IF($BH493="",1,COUNTIF($BH$3:$BH493,$BH493))</f>
        <v>1</v>
      </c>
      <c r="CP493" t="str">
        <f>IF($K493="Standard Match","Match",IF($K493="Name Only Match",IF($CO493="Yes","Match","Name Only Match"),"No Match"))</f>
        <v>No Match</v>
      </c>
      <c r="CQ493" s="35" t="str">
        <f>IF(AND(CP493="Match",CK493&gt;0,CL493&gt;0),"Y","N")</f>
        <v>N</v>
      </c>
      <c r="CS493" t="str">
        <f>IF($CQ493="Y",VLOOKUP($CM493,'SBA Size Standards'!$B$3:$G$57,MATCH('SBA Size Standards'!$G$3,'SBA Size Standards'!$B$3:$G$3,0),FALSE),"")</f>
        <v/>
      </c>
      <c r="CT493" s="60" t="str">
        <f>IF(CQ493="Y",IF($CS493="Employment","N/A",VLOOKUP($CM493,'SBA Size Standards'!$B$3:$G$57,MATCH('SBA Size Standards'!$E$3,'SBA Size Standards'!$B$3:$G$3,0),FALSE)),"")</f>
        <v/>
      </c>
      <c r="CU493" s="86" t="str">
        <f>IF($CQ493="Y",IF($CS493="Revenue","N/A",VLOOKUP($CM493,'SBA Size Standards'!$B$3:$G$57,MATCH('SBA Size Standards'!$F$3,'SBA Size Standards'!$B$3:$G$3,0),FALSE)),"")</f>
        <v/>
      </c>
      <c r="CV493" t="str">
        <f>IF($CQ493="Y",IF(OR(AND($CS493="Employment",$CL493&lt;$CU493),AND($CS493="Revenue",$CK493&lt;$CT493)),"YES","NO"),"")</f>
        <v/>
      </c>
      <c r="CW493" s="90" t="str">
        <f>IF($CQ493="Y",INDEX('SBA Size Standards'!$N$3:$N$12,MATCH($CK493,'SBA Size Standards'!$O$3:$O$12,1)),"")</f>
        <v/>
      </c>
      <c r="CX493" s="122" t="s">
        <v>5043</v>
      </c>
      <c r="CY493" s="122">
        <f>INDEX('NM O&amp;G Production'!$P$3:$P$537,MATCH(CX493,'NM O&amp;G Production'!$Q$3:$Q$537,0))</f>
        <v>375</v>
      </c>
      <c r="CZ493" s="122" t="str">
        <f>INDEX('NM O&amp;G Production'!$O$3:$O$537,MATCH(CY493,'NM O&amp;G Production'!$P$3:$P$537,0))</f>
        <v>Yes</v>
      </c>
      <c r="DA493" s="127">
        <f>INDEX('NM O&amp;G Production'!$K$3:$O$537,MATCH($CY493,'NM O&amp;G Production'!$P$3:$P$537,0),MATCH(DA$2,'NM O&amp;G Production'!$K$2:$O$2,0))</f>
        <v>0</v>
      </c>
      <c r="DB493" s="127">
        <f>INDEX('NM O&amp;G Production'!$K$3:$O$537,MATCH($CY493,'NM O&amp;G Production'!$P$3:$P$537,0),MATCH(DB$2,'NM O&amp;G Production'!$K$2:$O$2,0))</f>
        <v>62</v>
      </c>
      <c r="DC493" s="127"/>
      <c r="DD493" s="127">
        <f>INDEX('NM O&amp;G Production'!$K$3:$O$537,MATCH($CY493,'NM O&amp;G Production'!$P$3:$P$537,0),MATCH(DD$2,'NM O&amp;G Production'!$K$2:$O$2,0))</f>
        <v>0</v>
      </c>
      <c r="DE493" s="127">
        <f>INDEX('NM O&amp;G Production'!$K$3:$O$537,MATCH($CY493,'NM O&amp;G Production'!$P$3:$P$537,0),MATCH(DE$2,'NM O&amp;G Production'!$K$2:$O$2,0))</f>
        <v>20194</v>
      </c>
      <c r="DF493" s="258">
        <f>CK493/(DB493+DA493)</f>
        <v>0</v>
      </c>
      <c r="DG493" s="57">
        <f>DD493*(12/18)*1.06*'Oil and Gas Prices'!$C$18</f>
        <v>0</v>
      </c>
      <c r="DH493" s="284">
        <f>DE493*(12/18)*'Oil and Gas Prices'!$C$4</f>
        <v>605820</v>
      </c>
      <c r="DI493" s="284">
        <f>DG493+DH493</f>
        <v>605820</v>
      </c>
      <c r="DJ493" s="57">
        <f>(DG493+DH493)/(DA493+DB493)</f>
        <v>9771.2903225806458</v>
      </c>
      <c r="DK493" s="18">
        <f>CK493/DI493</f>
        <v>0</v>
      </c>
    </row>
    <row r="494" spans="1:115" x14ac:dyDescent="0.25">
      <c r="A494" t="s">
        <v>2287</v>
      </c>
      <c r="B494" t="s">
        <v>2288</v>
      </c>
      <c r="D494" t="s">
        <v>183</v>
      </c>
      <c r="E494" t="s">
        <v>184</v>
      </c>
      <c r="F494">
        <v>74103</v>
      </c>
      <c r="G494" t="s">
        <v>62</v>
      </c>
      <c r="I494">
        <v>324</v>
      </c>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c r="CL494"/>
      <c r="CM494" s="21"/>
      <c r="CN494" s="61">
        <f>IF($BH494="",1,COUNTIF($BH$3:$BH494,$BH494))</f>
        <v>1</v>
      </c>
      <c r="CP494" t="str">
        <f>IF($K494="Standard Match","Match",IF($K494="Name Only Match",IF($CO494="Yes","Match","Name Only Match"),"No Match"))</f>
        <v>No Match</v>
      </c>
      <c r="CQ494" s="35" t="str">
        <f>IF(AND(CP494="Match",CK494&gt;0,CL494&gt;0),"Y","N")</f>
        <v>N</v>
      </c>
      <c r="CS494" t="str">
        <f>IF($CQ494="Y",VLOOKUP($CM494,'SBA Size Standards'!$B$3:$G$57,MATCH('SBA Size Standards'!$G$3,'SBA Size Standards'!$B$3:$G$3,0),FALSE),"")</f>
        <v/>
      </c>
      <c r="CT494" s="60" t="str">
        <f>IF(CQ494="Y",IF($CS494="Employment","N/A",VLOOKUP($CM494,'SBA Size Standards'!$B$3:$G$57,MATCH('SBA Size Standards'!$E$3,'SBA Size Standards'!$B$3:$G$3,0),FALSE)),"")</f>
        <v/>
      </c>
      <c r="CU494" s="86" t="str">
        <f>IF($CQ494="Y",IF($CS494="Revenue","N/A",VLOOKUP($CM494,'SBA Size Standards'!$B$3:$G$57,MATCH('SBA Size Standards'!$F$3,'SBA Size Standards'!$B$3:$G$3,0),FALSE)),"")</f>
        <v/>
      </c>
      <c r="CV494" t="str">
        <f>IF($CQ494="Y",IF(OR(AND($CS494="Employment",$CL494&lt;$CU494),AND($CS494="Revenue",$CK494&lt;$CT494)),"YES","NO"),"")</f>
        <v/>
      </c>
      <c r="CW494" s="90" t="str">
        <f>IF($CQ494="Y",INDEX('SBA Size Standards'!$N$3:$N$12,MATCH($CK494,'SBA Size Standards'!$O$3:$O$12,1)),"")</f>
        <v/>
      </c>
      <c r="CX494" s="122" t="s">
        <v>5037</v>
      </c>
      <c r="CY494" s="122">
        <f>INDEX('NM O&amp;G Production'!$P$3:$P$537,MATCH(CX494,'NM O&amp;G Production'!$Q$3:$Q$537,0))</f>
        <v>324</v>
      </c>
      <c r="CZ494" s="122" t="str">
        <f>INDEX('NM O&amp;G Production'!$O$3:$O$537,MATCH(CY494,'NM O&amp;G Production'!$P$3:$P$537,0))</f>
        <v>Yes</v>
      </c>
      <c r="DA494" s="127">
        <f>INDEX('NM O&amp;G Production'!$K$3:$O$537,MATCH($CY494,'NM O&amp;G Production'!$P$3:$P$537,0),MATCH(DA$2,'NM O&amp;G Production'!$K$2:$O$2,0))</f>
        <v>6</v>
      </c>
      <c r="DB494" s="127">
        <f>INDEX('NM O&amp;G Production'!$K$3:$O$537,MATCH($CY494,'NM O&amp;G Production'!$P$3:$P$537,0),MATCH(DB$2,'NM O&amp;G Production'!$K$2:$O$2,0))</f>
        <v>33</v>
      </c>
      <c r="DC494" s="127"/>
      <c r="DD494" s="127">
        <f>INDEX('NM O&amp;G Production'!$K$3:$O$537,MATCH($CY494,'NM O&amp;G Production'!$P$3:$P$537,0),MATCH(DD$2,'NM O&amp;G Production'!$K$2:$O$2,0))</f>
        <v>208363</v>
      </c>
      <c r="DE494" s="127">
        <f>INDEX('NM O&amp;G Production'!$K$3:$O$537,MATCH($CY494,'NM O&amp;G Production'!$P$3:$P$537,0),MATCH(DE$2,'NM O&amp;G Production'!$K$2:$O$2,0))</f>
        <v>401</v>
      </c>
      <c r="DF494" s="258">
        <f>CK494/(DB494+DA494)</f>
        <v>0</v>
      </c>
      <c r="DG494" s="57">
        <f>DD494*(12/18)*1.06*'Oil and Gas Prices'!$C$18</f>
        <v>351911.21613333339</v>
      </c>
      <c r="DH494" s="284">
        <f>DE494*(12/18)*'Oil and Gas Prices'!$C$4</f>
        <v>12030</v>
      </c>
      <c r="DI494" s="284">
        <f>DG494+DH494</f>
        <v>363941.21613333339</v>
      </c>
      <c r="DJ494" s="57">
        <f>(DG494+DH494)/(DA494+DB494)</f>
        <v>9331.8260547008558</v>
      </c>
      <c r="DK494" s="18">
        <f>CK494/DI494</f>
        <v>0</v>
      </c>
    </row>
    <row r="495" spans="1:115" x14ac:dyDescent="0.25">
      <c r="A495" t="s">
        <v>399</v>
      </c>
      <c r="B495" t="s">
        <v>400</v>
      </c>
      <c r="D495" t="s">
        <v>401</v>
      </c>
      <c r="E495" t="s">
        <v>80</v>
      </c>
      <c r="F495">
        <v>79336</v>
      </c>
      <c r="G495" t="s">
        <v>62</v>
      </c>
      <c r="I495">
        <v>48</v>
      </c>
      <c r="O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c r="CL495"/>
      <c r="CM495" s="21"/>
      <c r="CN495" s="61">
        <f>IF($BH495="",1,COUNTIF($BH$3:$BH495,$BH495))</f>
        <v>1</v>
      </c>
      <c r="CP495" t="str">
        <f>IF($K495="Standard Match","Match",IF($K495="Name Only Match",IF($CO495="Yes","Match","Name Only Match"),"No Match"))</f>
        <v>No Match</v>
      </c>
      <c r="CQ495" s="35" t="str">
        <f>IF(AND(CP495="Match",CK495&gt;0,CL495&gt;0),"Y","N")</f>
        <v>N</v>
      </c>
      <c r="CS495" t="str">
        <f>IF($CQ495="Y",VLOOKUP($CM495,'SBA Size Standards'!$B$3:$G$57,MATCH('SBA Size Standards'!$G$3,'SBA Size Standards'!$B$3:$G$3,0),FALSE),"")</f>
        <v/>
      </c>
      <c r="CT495" s="60" t="str">
        <f>IF(CQ495="Y",IF($CS495="Employment","N/A",VLOOKUP($CM495,'SBA Size Standards'!$B$3:$G$57,MATCH('SBA Size Standards'!$E$3,'SBA Size Standards'!$B$3:$G$3,0),FALSE)),"")</f>
        <v/>
      </c>
      <c r="CU495" s="86" t="str">
        <f>IF($CQ495="Y",IF($CS495="Revenue","N/A",VLOOKUP($CM495,'SBA Size Standards'!$B$3:$G$57,MATCH('SBA Size Standards'!$F$3,'SBA Size Standards'!$B$3:$G$3,0),FALSE)),"")</f>
        <v/>
      </c>
      <c r="CV495" t="str">
        <f>IF($CQ495="Y",IF(OR(AND($CS495="Employment",$CL495&lt;$CU495),AND($CS495="Revenue",$CK495&lt;$CT495)),"YES","NO"),"")</f>
        <v/>
      </c>
      <c r="CW495" s="90" t="str">
        <f>IF($CQ495="Y",INDEX('SBA Size Standards'!$N$3:$N$12,MATCH($CK495,'SBA Size Standards'!$O$3:$O$12,1)),"")</f>
        <v/>
      </c>
      <c r="CX495" s="122" t="s">
        <v>5013</v>
      </c>
      <c r="CY495" s="122">
        <f>INDEX('NM O&amp;G Production'!$P$3:$P$537,MATCH(CX495,'NM O&amp;G Production'!$Q$3:$Q$537,0))</f>
        <v>48</v>
      </c>
      <c r="CZ495" s="122" t="str">
        <f>INDEX('NM O&amp;G Production'!$O$3:$O$537,MATCH(CY495,'NM O&amp;G Production'!$P$3:$P$537,0))</f>
        <v>Yes</v>
      </c>
      <c r="DA495" s="127">
        <f>INDEX('NM O&amp;G Production'!$K$3:$O$537,MATCH($CY495,'NM O&amp;G Production'!$P$3:$P$537,0),MATCH(DA$2,'NM O&amp;G Production'!$K$2:$O$2,0))</f>
        <v>0</v>
      </c>
      <c r="DB495" s="127">
        <f>INDEX('NM O&amp;G Production'!$K$3:$O$537,MATCH($CY495,'NM O&amp;G Production'!$P$3:$P$537,0),MATCH(DB$2,'NM O&amp;G Production'!$K$2:$O$2,0))</f>
        <v>2</v>
      </c>
      <c r="DC495" s="127"/>
      <c r="DD495" s="127">
        <f>INDEX('NM O&amp;G Production'!$K$3:$O$537,MATCH($CY495,'NM O&amp;G Production'!$P$3:$P$537,0),MATCH(DD$2,'NM O&amp;G Production'!$K$2:$O$2,0))</f>
        <v>10135</v>
      </c>
      <c r="DE495" s="127">
        <f>INDEX('NM O&amp;G Production'!$K$3:$O$537,MATCH($CY495,'NM O&amp;G Production'!$P$3:$P$537,0),MATCH(DE$2,'NM O&amp;G Production'!$K$2:$O$2,0))</f>
        <v>0</v>
      </c>
      <c r="DF495" s="258">
        <f>CK495/(DB495+DA495)</f>
        <v>0</v>
      </c>
      <c r="DG495" s="57">
        <f>DD495*(12/18)*1.06*'Oil and Gas Prices'!$C$18</f>
        <v>17117.339333333333</v>
      </c>
      <c r="DH495" s="284">
        <f>DE495*(12/18)*'Oil and Gas Prices'!$C$4</f>
        <v>0</v>
      </c>
      <c r="DI495" s="284">
        <f>DG495+DH495</f>
        <v>17117.339333333333</v>
      </c>
      <c r="DJ495" s="57">
        <f>(DG495+DH495)/(DA495+DB495)</f>
        <v>8558.6696666666667</v>
      </c>
      <c r="DK495" s="18">
        <f>CK495/DI495</f>
        <v>0</v>
      </c>
    </row>
    <row r="496" spans="1:115" x14ac:dyDescent="0.25">
      <c r="A496" t="s">
        <v>3571</v>
      </c>
      <c r="B496" t="s">
        <v>3572</v>
      </c>
      <c r="D496" t="s">
        <v>3573</v>
      </c>
      <c r="E496" t="s">
        <v>84</v>
      </c>
      <c r="F496">
        <v>88210</v>
      </c>
      <c r="G496" t="s">
        <v>62</v>
      </c>
      <c r="I496">
        <v>525</v>
      </c>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c r="CL496"/>
      <c r="CN496" s="35">
        <f>IF($BH496="",1,COUNTIF($BH$3:$BH496,$BH496))</f>
        <v>1</v>
      </c>
      <c r="CP496" t="str">
        <f>IF($K496="Standard Match","Match",IF($K496="Name Only Match",IF($CO496="Yes","Match","Name Only Match"),"No Match"))</f>
        <v>No Match</v>
      </c>
      <c r="CQ496" s="35" t="str">
        <f>IF(AND(CP496="Match",CK496&gt;0,CL496&gt;0),"Y","N")</f>
        <v>N</v>
      </c>
      <c r="CS496" t="str">
        <f>IF($CQ496="Y",VLOOKUP($CM496,'SBA Size Standards'!$B$3:$G$57,MATCH('SBA Size Standards'!$G$3,'SBA Size Standards'!$B$3:$G$3,0),FALSE),"")</f>
        <v/>
      </c>
      <c r="CT496" s="60" t="str">
        <f>IF(CQ496="Y",IF($CS496="Employment","N/A",VLOOKUP($CM496,'SBA Size Standards'!$B$3:$G$57,MATCH('SBA Size Standards'!$E$3,'SBA Size Standards'!$B$3:$G$3,0),FALSE)),"")</f>
        <v/>
      </c>
      <c r="CU496" s="86" t="str">
        <f>IF($CQ496="Y",IF($CS496="Revenue","N/A",VLOOKUP($CM496,'SBA Size Standards'!$B$3:$G$57,MATCH('SBA Size Standards'!$F$3,'SBA Size Standards'!$B$3:$G$3,0),FALSE)),"")</f>
        <v/>
      </c>
      <c r="CV496" t="str">
        <f>IF($CQ496="Y",IF(OR(AND($CS496="Employment",$CL496&lt;$CU496),AND($CS496="Revenue",$CK496&lt;$CT496)),"YES","NO"),"")</f>
        <v/>
      </c>
      <c r="CW496" s="90" t="str">
        <f>IF($CQ496="Y",INDEX('SBA Size Standards'!$N$3:$N$12,MATCH($CK496,'SBA Size Standards'!$O$3:$O$12,1)),"")</f>
        <v/>
      </c>
      <c r="CX496" s="122" t="s">
        <v>5055</v>
      </c>
      <c r="CY496" s="122">
        <f>INDEX('NM O&amp;G Production'!$P$3:$P$537,MATCH(CX496,'NM O&amp;G Production'!$Q$3:$Q$537,0))</f>
        <v>525</v>
      </c>
      <c r="CZ496" s="122" t="str">
        <f>INDEX('NM O&amp;G Production'!$O$3:$O$537,MATCH(CY496,'NM O&amp;G Production'!$P$3:$P$537,0))</f>
        <v>Yes</v>
      </c>
      <c r="DA496" s="127">
        <f>INDEX('NM O&amp;G Production'!$K$3:$O$537,MATCH($CY496,'NM O&amp;G Production'!$P$3:$P$537,0),MATCH(DA$2,'NM O&amp;G Production'!$K$2:$O$2,0))</f>
        <v>0</v>
      </c>
      <c r="DB496" s="127">
        <f>INDEX('NM O&amp;G Production'!$K$3:$O$537,MATCH($CY496,'NM O&amp;G Production'!$P$3:$P$537,0),MATCH(DB$2,'NM O&amp;G Production'!$K$2:$O$2,0))</f>
        <v>1</v>
      </c>
      <c r="DC496" s="127"/>
      <c r="DD496" s="127">
        <f>INDEX('NM O&amp;G Production'!$K$3:$O$537,MATCH($CY496,'NM O&amp;G Production'!$P$3:$P$537,0),MATCH(DD$2,'NM O&amp;G Production'!$K$2:$O$2,0))</f>
        <v>0</v>
      </c>
      <c r="DE496" s="127">
        <f>INDEX('NM O&amp;G Production'!$K$3:$O$537,MATCH($CY496,'NM O&amp;G Production'!$P$3:$P$537,0),MATCH(DE$2,'NM O&amp;G Production'!$K$2:$O$2,0))</f>
        <v>272</v>
      </c>
      <c r="DF496" s="258">
        <f>CK496/(DB496+DA496)</f>
        <v>0</v>
      </c>
      <c r="DG496" s="57">
        <f>DD496*(12/18)*1.06*'Oil and Gas Prices'!$C$18</f>
        <v>0</v>
      </c>
      <c r="DH496" s="284">
        <f>DE496*(12/18)*'Oil and Gas Prices'!$C$4</f>
        <v>8159.9999999999991</v>
      </c>
      <c r="DI496" s="284">
        <f>DG496+DH496</f>
        <v>8159.9999999999991</v>
      </c>
      <c r="DJ496" s="57">
        <f>(DG496+DH496)/(DA496+DB496)</f>
        <v>8159.9999999999991</v>
      </c>
      <c r="DK496" s="18">
        <f>CK496/DI496</f>
        <v>0</v>
      </c>
    </row>
    <row r="497" spans="1:115" x14ac:dyDescent="0.25">
      <c r="A497" t="s">
        <v>3523</v>
      </c>
      <c r="B497" t="s">
        <v>3524</v>
      </c>
      <c r="D497" t="s">
        <v>3525</v>
      </c>
      <c r="E497" t="s">
        <v>265</v>
      </c>
      <c r="F497">
        <v>93021</v>
      </c>
      <c r="G497" t="s">
        <v>62</v>
      </c>
      <c r="I497">
        <v>518</v>
      </c>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c r="CL497"/>
      <c r="CN497" s="35">
        <f>IF($BH497="",1,COUNTIF($BH$3:$BH497,$BH497))</f>
        <v>1</v>
      </c>
      <c r="CP497" t="str">
        <f>IF($K497="Standard Match","Match",IF($K497="Name Only Match",IF($CO497="Yes","Match","Name Only Match"),"No Match"))</f>
        <v>No Match</v>
      </c>
      <c r="CQ497" s="35" t="str">
        <f>IF(AND(CP497="Match",CK497&gt;0,CL497&gt;0),"Y","N")</f>
        <v>N</v>
      </c>
      <c r="CS497" t="str">
        <f>IF($CQ497="Y",VLOOKUP($CM497,'SBA Size Standards'!$B$3:$G$57,MATCH('SBA Size Standards'!$G$3,'SBA Size Standards'!$B$3:$G$3,0),FALSE),"")</f>
        <v/>
      </c>
      <c r="CT497" s="60" t="str">
        <f>IF(CQ497="Y",IF($CS497="Employment","N/A",VLOOKUP($CM497,'SBA Size Standards'!$B$3:$G$57,MATCH('SBA Size Standards'!$E$3,'SBA Size Standards'!$B$3:$G$3,0),FALSE)),"")</f>
        <v/>
      </c>
      <c r="CU497" s="86" t="str">
        <f>IF($CQ497="Y",IF($CS497="Revenue","N/A",VLOOKUP($CM497,'SBA Size Standards'!$B$3:$G$57,MATCH('SBA Size Standards'!$F$3,'SBA Size Standards'!$B$3:$G$3,0),FALSE)),"")</f>
        <v/>
      </c>
      <c r="CV497" t="str">
        <f>IF($CQ497="Y",IF(OR(AND($CS497="Employment",$CL497&lt;$CU497),AND($CS497="Revenue",$CK497&lt;$CT497)),"YES","NO"),"")</f>
        <v/>
      </c>
      <c r="CW497" s="90" t="str">
        <f>IF($CQ497="Y",INDEX('SBA Size Standards'!$N$3:$N$12,MATCH($CK497,'SBA Size Standards'!$O$3:$O$12,1)),"")</f>
        <v/>
      </c>
      <c r="CX497" s="122" t="s">
        <v>5054</v>
      </c>
      <c r="CY497" s="122">
        <f>INDEX('NM O&amp;G Production'!$P$3:$P$537,MATCH(CX497,'NM O&amp;G Production'!$Q$3:$Q$537,0))</f>
        <v>518</v>
      </c>
      <c r="CZ497" s="122" t="str">
        <f>INDEX('NM O&amp;G Production'!$O$3:$O$537,MATCH(CY497,'NM O&amp;G Production'!$P$3:$P$537,0))</f>
        <v>yes</v>
      </c>
      <c r="DA497" s="127">
        <f>INDEX('NM O&amp;G Production'!$K$3:$O$537,MATCH($CY497,'NM O&amp;G Production'!$P$3:$P$537,0),MATCH(DA$2,'NM O&amp;G Production'!$K$2:$O$2,0))</f>
        <v>0</v>
      </c>
      <c r="DB497" s="127">
        <f>INDEX('NM O&amp;G Production'!$K$3:$O$537,MATCH($CY497,'NM O&amp;G Production'!$P$3:$P$537,0),MATCH(DB$2,'NM O&amp;G Production'!$K$2:$O$2,0))</f>
        <v>2</v>
      </c>
      <c r="DC497" s="127"/>
      <c r="DD497" s="127">
        <f>INDEX('NM O&amp;G Production'!$K$3:$O$537,MATCH($CY497,'NM O&amp;G Production'!$P$3:$P$537,0),MATCH(DD$2,'NM O&amp;G Production'!$K$2:$O$2,0))</f>
        <v>4309</v>
      </c>
      <c r="DE497" s="127">
        <f>INDEX('NM O&amp;G Production'!$K$3:$O$537,MATCH($CY497,'NM O&amp;G Production'!$P$3:$P$537,0),MATCH(DE$2,'NM O&amp;G Production'!$K$2:$O$2,0))</f>
        <v>286</v>
      </c>
      <c r="DF497" s="258">
        <f>CK497/(DB497+DA497)</f>
        <v>0</v>
      </c>
      <c r="DG497" s="57">
        <f>DD497*(12/18)*1.06*'Oil and Gas Prices'!$C$18</f>
        <v>7277.6137333333336</v>
      </c>
      <c r="DH497" s="284">
        <f>DE497*(12/18)*'Oil and Gas Prices'!$C$4</f>
        <v>8580</v>
      </c>
      <c r="DI497" s="284">
        <f>DG497+DH497</f>
        <v>15857.613733333334</v>
      </c>
      <c r="DJ497" s="57">
        <f>(DG497+DH497)/(DA497+DB497)</f>
        <v>7928.8068666666668</v>
      </c>
      <c r="DK497" s="18">
        <f>CK497/DI497</f>
        <v>0</v>
      </c>
    </row>
    <row r="498" spans="1:115" x14ac:dyDescent="0.25">
      <c r="A498" t="s">
        <v>1642</v>
      </c>
      <c r="B498" t="s">
        <v>1643</v>
      </c>
      <c r="D498" t="s">
        <v>378</v>
      </c>
      <c r="E498" t="s">
        <v>80</v>
      </c>
      <c r="F498">
        <v>75219</v>
      </c>
      <c r="G498" t="s">
        <v>62</v>
      </c>
      <c r="I498">
        <v>222</v>
      </c>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c r="CL498"/>
      <c r="CM498" s="21"/>
      <c r="CN498" s="61">
        <f>IF($BH498="",1,COUNTIF($BH$3:$BH498,$BH498))</f>
        <v>1</v>
      </c>
      <c r="CP498" t="str">
        <f>IF($K498="Standard Match","Match",IF($K498="Name Only Match",IF($CO498="Yes","Match","Name Only Match"),"No Match"))</f>
        <v>No Match</v>
      </c>
      <c r="CQ498" s="35" t="str">
        <f>IF(AND(CP498="Match",CK498&gt;0,CL498&gt;0),"Y","N")</f>
        <v>N</v>
      </c>
      <c r="CS498" t="str">
        <f>IF($CQ498="Y",VLOOKUP($CM498,'SBA Size Standards'!$B$3:$G$57,MATCH('SBA Size Standards'!$G$3,'SBA Size Standards'!$B$3:$G$3,0),FALSE),"")</f>
        <v/>
      </c>
      <c r="CT498" s="60" t="str">
        <f>IF(CQ498="Y",IF($CS498="Employment","N/A",VLOOKUP($CM498,'SBA Size Standards'!$B$3:$G$57,MATCH('SBA Size Standards'!$E$3,'SBA Size Standards'!$B$3:$G$3,0),FALSE)),"")</f>
        <v/>
      </c>
      <c r="CU498" s="86" t="str">
        <f>IF($CQ498="Y",IF($CS498="Revenue","N/A",VLOOKUP($CM498,'SBA Size Standards'!$B$3:$G$57,MATCH('SBA Size Standards'!$F$3,'SBA Size Standards'!$B$3:$G$3,0),FALSE)),"")</f>
        <v/>
      </c>
      <c r="CV498" t="str">
        <f>IF($CQ498="Y",IF(OR(AND($CS498="Employment",$CL498&lt;$CU498),AND($CS498="Revenue",$CK498&lt;$CT498)),"YES","NO"),"")</f>
        <v/>
      </c>
      <c r="CW498" s="90" t="str">
        <f>IF($CQ498="Y",INDEX('SBA Size Standards'!$N$3:$N$12,MATCH($CK498,'SBA Size Standards'!$O$3:$O$12,1)),"")</f>
        <v/>
      </c>
      <c r="CX498" s="122" t="s">
        <v>5024</v>
      </c>
      <c r="CY498" s="122">
        <f>INDEX('NM O&amp;G Production'!$P$3:$P$537,MATCH(CX498,'NM O&amp;G Production'!$Q$3:$Q$537,0))</f>
        <v>222</v>
      </c>
      <c r="CZ498" s="122" t="str">
        <f>INDEX('NM O&amp;G Production'!$O$3:$O$537,MATCH(CY498,'NM O&amp;G Production'!$P$3:$P$537,0))</f>
        <v>Yes</v>
      </c>
      <c r="DA498" s="127">
        <f>INDEX('NM O&amp;G Production'!$K$3:$O$537,MATCH($CY498,'NM O&amp;G Production'!$P$3:$P$537,0),MATCH(DA$2,'NM O&amp;G Production'!$K$2:$O$2,0))</f>
        <v>0</v>
      </c>
      <c r="DB498" s="127">
        <f>INDEX('NM O&amp;G Production'!$K$3:$O$537,MATCH($CY498,'NM O&amp;G Production'!$P$3:$P$537,0),MATCH(DB$2,'NM O&amp;G Production'!$K$2:$O$2,0))</f>
        <v>1</v>
      </c>
      <c r="DC498" s="127"/>
      <c r="DD498" s="127">
        <f>INDEX('NM O&amp;G Production'!$K$3:$O$537,MATCH($CY498,'NM O&amp;G Production'!$P$3:$P$537,0),MATCH(DD$2,'NM O&amp;G Production'!$K$2:$O$2,0))</f>
        <v>0</v>
      </c>
      <c r="DE498" s="127">
        <f>INDEX('NM O&amp;G Production'!$K$3:$O$537,MATCH($CY498,'NM O&amp;G Production'!$P$3:$P$537,0),MATCH(DE$2,'NM O&amp;G Production'!$K$2:$O$2,0))</f>
        <v>260</v>
      </c>
      <c r="DF498" s="258">
        <f>CK498/(DB498+DA498)</f>
        <v>0</v>
      </c>
      <c r="DG498" s="57">
        <f>DD498*(12/18)*1.06*'Oil and Gas Prices'!$C$18</f>
        <v>0</v>
      </c>
      <c r="DH498" s="284">
        <f>DE498*(12/18)*'Oil and Gas Prices'!$C$4</f>
        <v>7799.9999999999991</v>
      </c>
      <c r="DI498" s="284">
        <f>DG498+DH498</f>
        <v>7799.9999999999991</v>
      </c>
      <c r="DJ498" s="57">
        <f>(DG498+DH498)/(DA498+DB498)</f>
        <v>7799.9999999999991</v>
      </c>
      <c r="DK498" s="18">
        <f>CK498/DI498</f>
        <v>0</v>
      </c>
    </row>
    <row r="499" spans="1:115" x14ac:dyDescent="0.25">
      <c r="A499" t="s">
        <v>1749</v>
      </c>
      <c r="B499" t="s">
        <v>1750</v>
      </c>
      <c r="D499" t="s">
        <v>1751</v>
      </c>
      <c r="E499" t="s">
        <v>80</v>
      </c>
      <c r="F499">
        <v>76906</v>
      </c>
      <c r="G499" t="s">
        <v>62</v>
      </c>
      <c r="I499">
        <v>240</v>
      </c>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c r="CL499"/>
      <c r="CM499" s="21"/>
      <c r="CN499" s="61">
        <f>IF($BH499="",1,COUNTIF($BH$3:$BH499,$BH499))</f>
        <v>1</v>
      </c>
      <c r="CP499" t="str">
        <f>IF($K499="Standard Match","Match",IF($K499="Name Only Match",IF($CO499="Yes","Match","Name Only Match"),"No Match"))</f>
        <v>No Match</v>
      </c>
      <c r="CQ499" s="35" t="str">
        <f>IF(AND(CP499="Match",CK499&gt;0,CL499&gt;0),"Y","N")</f>
        <v>N</v>
      </c>
      <c r="CS499" t="str">
        <f>IF($CQ499="Y",VLOOKUP($CM499,'SBA Size Standards'!$B$3:$G$57,MATCH('SBA Size Standards'!$G$3,'SBA Size Standards'!$B$3:$G$3,0),FALSE),"")</f>
        <v/>
      </c>
      <c r="CT499" s="60" t="str">
        <f>IF(CQ499="Y",IF($CS499="Employment","N/A",VLOOKUP($CM499,'SBA Size Standards'!$B$3:$G$57,MATCH('SBA Size Standards'!$E$3,'SBA Size Standards'!$B$3:$G$3,0),FALSE)),"")</f>
        <v/>
      </c>
      <c r="CU499" s="86" t="str">
        <f>IF($CQ499="Y",IF($CS499="Revenue","N/A",VLOOKUP($CM499,'SBA Size Standards'!$B$3:$G$57,MATCH('SBA Size Standards'!$F$3,'SBA Size Standards'!$B$3:$G$3,0),FALSE)),"")</f>
        <v/>
      </c>
      <c r="CV499" t="str">
        <f>IF($CQ499="Y",IF(OR(AND($CS499="Employment",$CL499&lt;$CU499),AND($CS499="Revenue",$CK499&lt;$CT499)),"YES","NO"),"")</f>
        <v/>
      </c>
      <c r="CW499" s="90" t="str">
        <f>IF($CQ499="Y",INDEX('SBA Size Standards'!$N$3:$N$12,MATCH($CK499,'SBA Size Standards'!$O$3:$O$12,1)),"")</f>
        <v/>
      </c>
      <c r="CX499" s="122" t="s">
        <v>5029</v>
      </c>
      <c r="CY499" s="122">
        <f>INDEX('NM O&amp;G Production'!$P$3:$P$537,MATCH(CX499,'NM O&amp;G Production'!$Q$3:$Q$537,0))</f>
        <v>240</v>
      </c>
      <c r="CZ499" s="122" t="str">
        <f>INDEX('NM O&amp;G Production'!$O$3:$O$537,MATCH(CY499,'NM O&amp;G Production'!$P$3:$P$537,0))</f>
        <v>Yes</v>
      </c>
      <c r="DA499" s="127">
        <f>INDEX('NM O&amp;G Production'!$K$3:$O$537,MATCH($CY499,'NM O&amp;G Production'!$P$3:$P$537,0),MATCH(DA$2,'NM O&amp;G Production'!$K$2:$O$2,0))</f>
        <v>0</v>
      </c>
      <c r="DB499" s="127">
        <f>INDEX('NM O&amp;G Production'!$K$3:$O$537,MATCH($CY499,'NM O&amp;G Production'!$P$3:$P$537,0),MATCH(DB$2,'NM O&amp;G Production'!$K$2:$O$2,0))</f>
        <v>5</v>
      </c>
      <c r="DC499" s="127"/>
      <c r="DD499" s="127">
        <f>INDEX('NM O&amp;G Production'!$K$3:$O$537,MATCH($CY499,'NM O&amp;G Production'!$P$3:$P$537,0),MATCH(DD$2,'NM O&amp;G Production'!$K$2:$O$2,0))</f>
        <v>0</v>
      </c>
      <c r="DE499" s="127">
        <f>INDEX('NM O&amp;G Production'!$K$3:$O$537,MATCH($CY499,'NM O&amp;G Production'!$P$3:$P$537,0),MATCH(DE$2,'NM O&amp;G Production'!$K$2:$O$2,0))</f>
        <v>1253</v>
      </c>
      <c r="DF499" s="258">
        <f>CK499/(DB499+DA499)</f>
        <v>0</v>
      </c>
      <c r="DG499" s="57">
        <f>DD499*(12/18)*1.06*'Oil and Gas Prices'!$C$18</f>
        <v>0</v>
      </c>
      <c r="DH499" s="284">
        <f>DE499*(12/18)*'Oil and Gas Prices'!$C$4</f>
        <v>37590</v>
      </c>
      <c r="DI499" s="284">
        <f>DG499+DH499</f>
        <v>37590</v>
      </c>
      <c r="DJ499" s="57">
        <f>(DG499+DH499)/(DA499+DB499)</f>
        <v>7518</v>
      </c>
      <c r="DK499" s="18">
        <f>CK499/DI499</f>
        <v>0</v>
      </c>
    </row>
    <row r="500" spans="1:115" x14ac:dyDescent="0.25">
      <c r="A500" t="s">
        <v>3168</v>
      </c>
      <c r="B500" t="s">
        <v>3169</v>
      </c>
      <c r="D500" t="s">
        <v>123</v>
      </c>
      <c r="E500" t="s">
        <v>84</v>
      </c>
      <c r="F500">
        <v>87401</v>
      </c>
      <c r="G500" t="s">
        <v>62</v>
      </c>
      <c r="I500">
        <v>465</v>
      </c>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c r="CL500"/>
      <c r="CN500" s="35">
        <f>IF($BH500="",1,COUNTIF($BH$3:$BH500,$BH500))</f>
        <v>1</v>
      </c>
      <c r="CP500" t="str">
        <f>IF($K500="Standard Match","Match",IF($K500="Name Only Match",IF($CO500="Yes","Match","Name Only Match"),"No Match"))</f>
        <v>No Match</v>
      </c>
      <c r="CQ500" s="35" t="str">
        <f>IF(AND(CP500="Match",CK500&gt;0,CL500&gt;0),"Y","N")</f>
        <v>N</v>
      </c>
      <c r="CS500" t="str">
        <f>IF($CQ500="Y",VLOOKUP($CM500,'SBA Size Standards'!$B$3:$G$57,MATCH('SBA Size Standards'!$G$3,'SBA Size Standards'!$B$3:$G$3,0),FALSE),"")</f>
        <v/>
      </c>
      <c r="CT500" s="60" t="str">
        <f>IF(CQ500="Y",IF($CS500="Employment","N/A",VLOOKUP($CM500,'SBA Size Standards'!$B$3:$G$57,MATCH('SBA Size Standards'!$E$3,'SBA Size Standards'!$B$3:$G$3,0),FALSE)),"")</f>
        <v/>
      </c>
      <c r="CU500" s="86" t="str">
        <f>IF($CQ500="Y",IF($CS500="Revenue","N/A",VLOOKUP($CM500,'SBA Size Standards'!$B$3:$G$57,MATCH('SBA Size Standards'!$F$3,'SBA Size Standards'!$B$3:$G$3,0),FALSE)),"")</f>
        <v/>
      </c>
      <c r="CV500" t="str">
        <f>IF($CQ500="Y",IF(OR(AND($CS500="Employment",$CL500&lt;$CU500),AND($CS500="Revenue",$CK500&lt;$CT500)),"YES","NO"),"")</f>
        <v/>
      </c>
      <c r="CW500" s="90" t="str">
        <f>IF($CQ500="Y",INDEX('SBA Size Standards'!$N$3:$N$12,MATCH($CK500,'SBA Size Standards'!$O$3:$O$12,1)),"")</f>
        <v/>
      </c>
      <c r="CX500" s="122" t="s">
        <v>5048</v>
      </c>
      <c r="CY500" s="122">
        <f>INDEX('NM O&amp;G Production'!$P$3:$P$537,MATCH(CX500,'NM O&amp;G Production'!$Q$3:$Q$537,0))</f>
        <v>465</v>
      </c>
      <c r="CZ500" s="122" t="str">
        <f>INDEX('NM O&amp;G Production'!$O$3:$O$537,MATCH(CY500,'NM O&amp;G Production'!$P$3:$P$537,0))</f>
        <v>Yes</v>
      </c>
      <c r="DA500" s="127">
        <f>INDEX('NM O&amp;G Production'!$K$3:$O$537,MATCH($CY500,'NM O&amp;G Production'!$P$3:$P$537,0),MATCH(DA$2,'NM O&amp;G Production'!$K$2:$O$2,0))</f>
        <v>2</v>
      </c>
      <c r="DB500" s="127">
        <f>INDEX('NM O&amp;G Production'!$K$3:$O$537,MATCH($CY500,'NM O&amp;G Production'!$P$3:$P$537,0),MATCH(DB$2,'NM O&amp;G Production'!$K$2:$O$2,0))</f>
        <v>8</v>
      </c>
      <c r="DC500" s="127"/>
      <c r="DD500" s="127">
        <f>INDEX('NM O&amp;G Production'!$K$3:$O$537,MATCH($CY500,'NM O&amp;G Production'!$P$3:$P$537,0),MATCH(DD$2,'NM O&amp;G Production'!$K$2:$O$2,0))</f>
        <v>37580</v>
      </c>
      <c r="DE500" s="127">
        <f>INDEX('NM O&amp;G Production'!$K$3:$O$537,MATCH($CY500,'NM O&amp;G Production'!$P$3:$P$537,0),MATCH(DE$2,'NM O&amp;G Production'!$K$2:$O$2,0))</f>
        <v>216</v>
      </c>
      <c r="DF500" s="258">
        <f>CK500/(DB500+DA500)</f>
        <v>0</v>
      </c>
      <c r="DG500" s="57">
        <f>DD500*(12/18)*1.06*'Oil and Gas Prices'!$C$18</f>
        <v>63470.114666666668</v>
      </c>
      <c r="DH500" s="284">
        <f>DE500*(12/18)*'Oil and Gas Prices'!$C$4</f>
        <v>6480</v>
      </c>
      <c r="DI500" s="284">
        <f>DG500+DH500</f>
        <v>69950.114666666661</v>
      </c>
      <c r="DJ500" s="57">
        <f>(DG500+DH500)/(DA500+DB500)</f>
        <v>6995.0114666666659</v>
      </c>
      <c r="DK500" s="18">
        <f>CK500/DI500</f>
        <v>0</v>
      </c>
    </row>
    <row r="501" spans="1:115" x14ac:dyDescent="0.25">
      <c r="A501" t="s">
        <v>1453</v>
      </c>
      <c r="B501" t="s">
        <v>172</v>
      </c>
      <c r="D501" t="s">
        <v>123</v>
      </c>
      <c r="E501" t="s">
        <v>84</v>
      </c>
      <c r="F501">
        <v>87499</v>
      </c>
      <c r="G501" t="s">
        <v>62</v>
      </c>
      <c r="I501">
        <v>195</v>
      </c>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c r="CL501"/>
      <c r="CM501" s="21"/>
      <c r="CN501" s="61">
        <f>IF($BH501="",1,COUNTIF($BH$3:$BH501,$BH501))</f>
        <v>1</v>
      </c>
      <c r="CP501" t="str">
        <f>IF($K501="Standard Match","Match",IF($K501="Name Only Match",IF($CO501="Yes","Match","Name Only Match"),"No Match"))</f>
        <v>No Match</v>
      </c>
      <c r="CQ501" s="35" t="str">
        <f>IF(AND(CP501="Match",CK501&gt;0,CL501&gt;0),"Y","N")</f>
        <v>N</v>
      </c>
      <c r="CS501" t="str">
        <f>IF($CQ501="Y",VLOOKUP($CM501,'SBA Size Standards'!$B$3:$G$57,MATCH('SBA Size Standards'!$G$3,'SBA Size Standards'!$B$3:$G$3,0),FALSE),"")</f>
        <v/>
      </c>
      <c r="CT501" s="60" t="str">
        <f>IF(CQ501="Y",IF($CS501="Employment","N/A",VLOOKUP($CM501,'SBA Size Standards'!$B$3:$G$57,MATCH('SBA Size Standards'!$E$3,'SBA Size Standards'!$B$3:$G$3,0),FALSE)),"")</f>
        <v/>
      </c>
      <c r="CU501" s="86" t="str">
        <f>IF($CQ501="Y",IF($CS501="Revenue","N/A",VLOOKUP($CM501,'SBA Size Standards'!$B$3:$G$57,MATCH('SBA Size Standards'!$F$3,'SBA Size Standards'!$B$3:$G$3,0),FALSE)),"")</f>
        <v/>
      </c>
      <c r="CV501" t="str">
        <f>IF($CQ501="Y",IF(OR(AND($CS501="Employment",$CL501&lt;$CU501),AND($CS501="Revenue",$CK501&lt;$CT501)),"YES","NO"),"")</f>
        <v/>
      </c>
      <c r="CW501" s="90" t="str">
        <f>IF($CQ501="Y",INDEX('SBA Size Standards'!$N$3:$N$12,MATCH($CK501,'SBA Size Standards'!$O$3:$O$12,1)),"")</f>
        <v/>
      </c>
      <c r="CX501" s="122" t="s">
        <v>5023</v>
      </c>
      <c r="CY501" s="122">
        <f>INDEX('NM O&amp;G Production'!$P$3:$P$537,MATCH(CX501,'NM O&amp;G Production'!$Q$3:$Q$537,0))</f>
        <v>195</v>
      </c>
      <c r="CZ501" s="122" t="str">
        <f>INDEX('NM O&amp;G Production'!$O$3:$O$537,MATCH(CY501,'NM O&amp;G Production'!$P$3:$P$537,0))</f>
        <v>Yes</v>
      </c>
      <c r="DA501" s="127">
        <f>INDEX('NM O&amp;G Production'!$K$3:$O$537,MATCH($CY501,'NM O&amp;G Production'!$P$3:$P$537,0),MATCH(DA$2,'NM O&amp;G Production'!$K$2:$O$2,0))</f>
        <v>0</v>
      </c>
      <c r="DB501" s="127">
        <f>INDEX('NM O&amp;G Production'!$K$3:$O$537,MATCH($CY501,'NM O&amp;G Production'!$P$3:$P$537,0),MATCH(DB$2,'NM O&amp;G Production'!$K$2:$O$2,0))</f>
        <v>5</v>
      </c>
      <c r="DC501" s="127"/>
      <c r="DD501" s="127">
        <f>INDEX('NM O&amp;G Production'!$K$3:$O$537,MATCH($CY501,'NM O&amp;G Production'!$P$3:$P$537,0),MATCH(DD$2,'NM O&amp;G Production'!$K$2:$O$2,0))</f>
        <v>17514</v>
      </c>
      <c r="DE501" s="127">
        <f>INDEX('NM O&amp;G Production'!$K$3:$O$537,MATCH($CY501,'NM O&amp;G Production'!$P$3:$P$537,0),MATCH(DE$2,'NM O&amp;G Production'!$K$2:$O$2,0))</f>
        <v>0</v>
      </c>
      <c r="DF501" s="258">
        <f>CK501/(DB501+DA501)</f>
        <v>0</v>
      </c>
      <c r="DG501" s="57">
        <f>DD501*(12/18)*1.06*'Oil and Gas Prices'!$C$18</f>
        <v>29579.978400000004</v>
      </c>
      <c r="DH501" s="284">
        <f>DE501*(12/18)*'Oil and Gas Prices'!$C$4</f>
        <v>0</v>
      </c>
      <c r="DI501" s="284">
        <f>DG501+DH501</f>
        <v>29579.978400000004</v>
      </c>
      <c r="DJ501" s="57">
        <f>(DG501+DH501)/(DA501+DB501)</f>
        <v>5915.9956800000009</v>
      </c>
      <c r="DK501" s="18">
        <f>CK501/DI501</f>
        <v>0</v>
      </c>
    </row>
    <row r="502" spans="1:115" x14ac:dyDescent="0.25">
      <c r="A502" s="27" t="s">
        <v>2000</v>
      </c>
      <c r="B502" t="s">
        <v>2001</v>
      </c>
      <c r="D502" t="s">
        <v>83</v>
      </c>
      <c r="E502" t="s">
        <v>84</v>
      </c>
      <c r="F502" t="s">
        <v>2002</v>
      </c>
      <c r="G502" t="s">
        <v>62</v>
      </c>
      <c r="I502">
        <v>280</v>
      </c>
      <c r="J502" t="s">
        <v>63</v>
      </c>
      <c r="K502" t="s">
        <v>4134</v>
      </c>
      <c r="L502" t="s">
        <v>3627</v>
      </c>
      <c r="M502">
        <v>8</v>
      </c>
      <c r="N502" t="s">
        <v>3906</v>
      </c>
      <c r="O502" s="21" t="s">
        <v>3907</v>
      </c>
      <c r="Q502" t="s">
        <v>3908</v>
      </c>
      <c r="R502" t="s">
        <v>3909</v>
      </c>
      <c r="S502" t="s">
        <v>3910</v>
      </c>
      <c r="T502" t="s">
        <v>3911</v>
      </c>
      <c r="U502" t="s">
        <v>62</v>
      </c>
      <c r="V502">
        <v>4017893096</v>
      </c>
      <c r="W502" s="1">
        <v>2298787</v>
      </c>
      <c r="X502">
        <v>10</v>
      </c>
      <c r="Y502">
        <v>20</v>
      </c>
      <c r="Z502">
        <v>1964</v>
      </c>
      <c r="AA502" t="s">
        <v>163</v>
      </c>
      <c r="AB502" t="s">
        <v>3912</v>
      </c>
      <c r="AC502" t="s">
        <v>98</v>
      </c>
      <c r="AD502" t="s">
        <v>370</v>
      </c>
      <c r="AE502">
        <v>5983</v>
      </c>
      <c r="AF502" t="s">
        <v>371</v>
      </c>
      <c r="AI502">
        <v>59830000</v>
      </c>
      <c r="AJ502" t="s">
        <v>370</v>
      </c>
      <c r="AM502">
        <v>454310</v>
      </c>
      <c r="AN502" t="s">
        <v>193</v>
      </c>
      <c r="AQ502" t="s">
        <v>168</v>
      </c>
      <c r="AR502" t="s">
        <v>3913</v>
      </c>
      <c r="AS502" t="s">
        <v>3914</v>
      </c>
      <c r="AT502" t="s">
        <v>76</v>
      </c>
      <c r="AU502" t="s">
        <v>3915</v>
      </c>
      <c r="AV502" t="s">
        <v>62</v>
      </c>
      <c r="AW502" t="s">
        <v>3913</v>
      </c>
      <c r="AX502" t="s">
        <v>3914</v>
      </c>
      <c r="AY502" t="s">
        <v>3915</v>
      </c>
      <c r="AZ502" t="s">
        <v>62</v>
      </c>
      <c r="BA502" t="s">
        <v>3913</v>
      </c>
      <c r="BC502" t="s">
        <v>3914</v>
      </c>
      <c r="BD502" t="s">
        <v>3915</v>
      </c>
      <c r="BE502" t="s">
        <v>62</v>
      </c>
      <c r="BF502">
        <v>2</v>
      </c>
      <c r="BG502">
        <v>4</v>
      </c>
      <c r="BH502" s="4" t="s">
        <v>3913</v>
      </c>
      <c r="BI502" s="4" t="s">
        <v>3914</v>
      </c>
      <c r="BK502" s="4" t="s">
        <v>4325</v>
      </c>
      <c r="BL502" s="4" t="s">
        <v>4326</v>
      </c>
      <c r="BM502" s="4" t="s">
        <v>3910</v>
      </c>
      <c r="BN502" s="4" t="s">
        <v>4327</v>
      </c>
      <c r="BO502" s="4" t="s">
        <v>62</v>
      </c>
      <c r="BP502" s="4">
        <v>4014214541</v>
      </c>
      <c r="BQ502" s="5">
        <v>2298787</v>
      </c>
      <c r="BR502" s="4">
        <v>18</v>
      </c>
      <c r="BS502" s="4">
        <v>28</v>
      </c>
      <c r="BT502" s="4">
        <v>1919</v>
      </c>
      <c r="BU502" s="4" t="s">
        <v>163</v>
      </c>
      <c r="BV502" s="4" t="s">
        <v>4328</v>
      </c>
      <c r="BW502" s="4" t="s">
        <v>98</v>
      </c>
      <c r="BX502" s="4" t="s">
        <v>370</v>
      </c>
      <c r="BY502" s="4">
        <v>5983</v>
      </c>
      <c r="BZ502" s="4" t="s">
        <v>371</v>
      </c>
      <c r="CC502" s="4">
        <v>59830000</v>
      </c>
      <c r="CD502" s="4" t="s">
        <v>370</v>
      </c>
      <c r="CG502" s="4">
        <v>454310</v>
      </c>
      <c r="CH502" s="4" t="s">
        <v>193</v>
      </c>
      <c r="CK502"/>
      <c r="CL502"/>
      <c r="CN502" s="35">
        <f>IF($BH502="",1,COUNTIF($BH$3:$BH502,$BH502))</f>
        <v>1</v>
      </c>
      <c r="CO502" s="21" t="s">
        <v>4385</v>
      </c>
      <c r="CP502" t="str">
        <f>IF($K502="Standard Match","Match",IF($K502="Name Only Match",IF($CO502="Yes","Match","Name Only Match"),"No Match"))</f>
        <v>Name Only Match</v>
      </c>
      <c r="CQ502" s="35" t="str">
        <f>IF(AND(CP502="Match",CK502&gt;0,CL502&gt;0),"Y","N")</f>
        <v>N</v>
      </c>
      <c r="CR502" t="s">
        <v>4394</v>
      </c>
      <c r="CS502" t="str">
        <f>IF($CQ502="Y",VLOOKUP($CM502,'SBA Size Standards'!$B$3:$G$57,MATCH('SBA Size Standards'!$G$3,'SBA Size Standards'!$B$3:$G$3,0),FALSE),"")</f>
        <v/>
      </c>
      <c r="CT502" s="60" t="str">
        <f>IF(CQ502="Y",IF($CS502="Employment","N/A",VLOOKUP($CM502,'SBA Size Standards'!$B$3:$G$57,MATCH('SBA Size Standards'!$E$3,'SBA Size Standards'!$B$3:$G$3,0),FALSE)),"")</f>
        <v/>
      </c>
      <c r="CU502" s="86" t="str">
        <f>IF($CQ502="Y",IF($CS502="Revenue","N/A",VLOOKUP($CM502,'SBA Size Standards'!$B$3:$G$57,MATCH('SBA Size Standards'!$F$3,'SBA Size Standards'!$B$3:$G$3,0),FALSE)),"")</f>
        <v/>
      </c>
      <c r="CV502" t="str">
        <f>IF($CQ502="Y",IF(OR(AND($CS502="Employment",$CL502&lt;$CU502),AND($CS502="Revenue",$CK502&lt;$CT502)),"YES","NO"),"")</f>
        <v/>
      </c>
      <c r="CW502" s="90" t="str">
        <f>IF($CQ502="Y",INDEX('SBA Size Standards'!$N$3:$N$12,MATCH($CK502,'SBA Size Standards'!$O$3:$O$12,1)),"")</f>
        <v/>
      </c>
      <c r="CX502" s="122" t="s">
        <v>4975</v>
      </c>
      <c r="CY502" s="122">
        <f>INDEX('NM O&amp;G Production'!$P$3:$P$537,MATCH(CX502,'NM O&amp;G Production'!$Q$3:$Q$537,0))</f>
        <v>280</v>
      </c>
      <c r="CZ502" s="122" t="str">
        <f>INDEX('NM O&amp;G Production'!$O$3:$O$537,MATCH(CY502,'NM O&amp;G Production'!$P$3:$P$537,0))</f>
        <v>Yes</v>
      </c>
      <c r="DA502" s="127">
        <f>INDEX('NM O&amp;G Production'!$K$3:$O$537,MATCH($CY502,'NM O&amp;G Production'!$P$3:$P$537,0),MATCH(DA$2,'NM O&amp;G Production'!$K$2:$O$2,0))</f>
        <v>0</v>
      </c>
      <c r="DB502" s="127">
        <f>INDEX('NM O&amp;G Production'!$K$3:$O$537,MATCH($CY502,'NM O&amp;G Production'!$P$3:$P$537,0),MATCH(DB$2,'NM O&amp;G Production'!$K$2:$O$2,0))</f>
        <v>6</v>
      </c>
      <c r="DC502" s="127"/>
      <c r="DD502" s="127">
        <f>INDEX('NM O&amp;G Production'!$K$3:$O$537,MATCH($CY502,'NM O&amp;G Production'!$P$3:$P$537,0),MATCH(DD$2,'NM O&amp;G Production'!$K$2:$O$2,0))</f>
        <v>0</v>
      </c>
      <c r="DE502" s="127">
        <f>INDEX('NM O&amp;G Production'!$K$3:$O$537,MATCH($CY502,'NM O&amp;G Production'!$P$3:$P$537,0),MATCH(DE$2,'NM O&amp;G Production'!$K$2:$O$2,0))</f>
        <v>1037</v>
      </c>
      <c r="DF502" s="258">
        <f>CK502/(DB502+DA502)</f>
        <v>0</v>
      </c>
      <c r="DG502" s="57">
        <f>DD502*(12/18)*1.06*'Oil and Gas Prices'!$C$18</f>
        <v>0</v>
      </c>
      <c r="DH502" s="284">
        <f>DE502*(12/18)*'Oil and Gas Prices'!$C$4</f>
        <v>31109.999999999996</v>
      </c>
      <c r="DI502" s="284">
        <f>DG502+DH502</f>
        <v>31109.999999999996</v>
      </c>
      <c r="DJ502" s="57">
        <f>(DG502+DH502)/(DA502+DB502)</f>
        <v>5184.9999999999991</v>
      </c>
      <c r="DK502" s="18">
        <f>CK502/DI502</f>
        <v>0</v>
      </c>
    </row>
    <row r="503" spans="1:115" x14ac:dyDescent="0.25">
      <c r="A503" t="s">
        <v>108</v>
      </c>
      <c r="B503" t="s">
        <v>109</v>
      </c>
      <c r="D503" t="s">
        <v>83</v>
      </c>
      <c r="E503" t="s">
        <v>84</v>
      </c>
      <c r="F503">
        <v>88210</v>
      </c>
      <c r="G503" t="s">
        <v>62</v>
      </c>
      <c r="I503">
        <v>6</v>
      </c>
      <c r="O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c r="CL503"/>
      <c r="CM503" s="21"/>
      <c r="CN503" s="61">
        <f>IF($BH503="",1,COUNTIF($BH$3:$BH503,$BH503))</f>
        <v>1</v>
      </c>
      <c r="CP503" t="str">
        <f>IF($K503="Standard Match","Match",IF($K503="Name Only Match",IF($CO503="Yes","Match","Name Only Match"),"No Match"))</f>
        <v>No Match</v>
      </c>
      <c r="CQ503" s="35" t="str">
        <f>IF(AND(CP503="Match",CK503&gt;0,CL503&gt;0),"Y","N")</f>
        <v>N</v>
      </c>
      <c r="CS503" t="str">
        <f>IF($CQ503="Y",VLOOKUP($CM503,'SBA Size Standards'!$B$3:$G$57,MATCH('SBA Size Standards'!$G$3,'SBA Size Standards'!$B$3:$G$3,0),FALSE),"")</f>
        <v/>
      </c>
      <c r="CT503" s="60" t="str">
        <f>IF(CQ503="Y",IF($CS503="Employment","N/A",VLOOKUP($CM503,'SBA Size Standards'!$B$3:$G$57,MATCH('SBA Size Standards'!$E$3,'SBA Size Standards'!$B$3:$G$3,0),FALSE)),"")</f>
        <v/>
      </c>
      <c r="CU503" s="86" t="str">
        <f>IF($CQ503="Y",IF($CS503="Revenue","N/A",VLOOKUP($CM503,'SBA Size Standards'!$B$3:$G$57,MATCH('SBA Size Standards'!$F$3,'SBA Size Standards'!$B$3:$G$3,0),FALSE)),"")</f>
        <v/>
      </c>
      <c r="CV503" t="str">
        <f>IF($CQ503="Y",IF(OR(AND($CS503="Employment",$CL503&lt;$CU503),AND($CS503="Revenue",$CK503&lt;$CT503)),"YES","NO"),"")</f>
        <v/>
      </c>
      <c r="CW503" s="90" t="str">
        <f>IF($CQ503="Y",INDEX('SBA Size Standards'!$N$3:$N$12,MATCH($CK503,'SBA Size Standards'!$O$3:$O$12,1)),"")</f>
        <v/>
      </c>
      <c r="CX503" s="122" t="s">
        <v>5008</v>
      </c>
      <c r="CY503" s="122">
        <f>INDEX('NM O&amp;G Production'!$P$3:$P$537,MATCH(CX503,'NM O&amp;G Production'!$Q$3:$Q$537,0))</f>
        <v>6</v>
      </c>
      <c r="CZ503" s="122" t="str">
        <f>INDEX('NM O&amp;G Production'!$O$3:$O$537,MATCH(CY503,'NM O&amp;G Production'!$P$3:$P$537,0))</f>
        <v>Yes</v>
      </c>
      <c r="DA503" s="127">
        <f>INDEX('NM O&amp;G Production'!$K$3:$O$537,MATCH($CY503,'NM O&amp;G Production'!$P$3:$P$537,0),MATCH(DA$2,'NM O&amp;G Production'!$K$2:$O$2,0))</f>
        <v>0</v>
      </c>
      <c r="DB503" s="127">
        <f>INDEX('NM O&amp;G Production'!$K$3:$O$537,MATCH($CY503,'NM O&amp;G Production'!$P$3:$P$537,0),MATCH(DB$2,'NM O&amp;G Production'!$K$2:$O$2,0))</f>
        <v>2</v>
      </c>
      <c r="DC503" s="127"/>
      <c r="DD503" s="127">
        <f>INDEX('NM O&amp;G Production'!$K$3:$O$537,MATCH($CY503,'NM O&amp;G Production'!$P$3:$P$537,0),MATCH(DD$2,'NM O&amp;G Production'!$K$2:$O$2,0))</f>
        <v>0</v>
      </c>
      <c r="DE503" s="127">
        <f>INDEX('NM O&amp;G Production'!$K$3:$O$537,MATCH($CY503,'NM O&amp;G Production'!$P$3:$P$537,0),MATCH(DE$2,'NM O&amp;G Production'!$K$2:$O$2,0))</f>
        <v>295</v>
      </c>
      <c r="DF503" s="258">
        <f>CK503/(DB503+DA503)</f>
        <v>0</v>
      </c>
      <c r="DG503" s="57">
        <f>DD503*(12/18)*1.06*'Oil and Gas Prices'!$C$18</f>
        <v>0</v>
      </c>
      <c r="DH503" s="284">
        <f>DE503*(12/18)*'Oil and Gas Prices'!$C$4</f>
        <v>8850</v>
      </c>
      <c r="DI503" s="284">
        <f>DG503+DH503</f>
        <v>8850</v>
      </c>
      <c r="DJ503" s="57">
        <f>(DG503+DH503)/(DA503+DB503)</f>
        <v>4425</v>
      </c>
      <c r="DK503" s="18">
        <f>CK503/DI503</f>
        <v>0</v>
      </c>
    </row>
    <row r="504" spans="1:115" x14ac:dyDescent="0.25">
      <c r="A504" t="s">
        <v>990</v>
      </c>
      <c r="B504" t="s">
        <v>293</v>
      </c>
      <c r="D504" t="s">
        <v>206</v>
      </c>
      <c r="E504" t="s">
        <v>84</v>
      </c>
      <c r="F504">
        <v>88240</v>
      </c>
      <c r="G504" t="s">
        <v>62</v>
      </c>
      <c r="I504">
        <v>130</v>
      </c>
      <c r="O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c r="CL504"/>
      <c r="CM504" s="21"/>
      <c r="CN504" s="61">
        <f>IF($BH504="",1,COUNTIF($BH$3:$BH504,$BH504))</f>
        <v>1</v>
      </c>
      <c r="CP504" t="str">
        <f>IF($K504="Standard Match","Match",IF($K504="Name Only Match",IF($CO504="Yes","Match","Name Only Match"),"No Match"))</f>
        <v>No Match</v>
      </c>
      <c r="CQ504" s="35" t="str">
        <f>IF(AND(CP504="Match",CK504&gt;0,CL504&gt;0),"Y","N")</f>
        <v>N</v>
      </c>
      <c r="CS504" t="str">
        <f>IF($CQ504="Y",VLOOKUP($CM504,'SBA Size Standards'!$B$3:$G$57,MATCH('SBA Size Standards'!$G$3,'SBA Size Standards'!$B$3:$G$3,0),FALSE),"")</f>
        <v/>
      </c>
      <c r="CT504" s="60" t="str">
        <f>IF(CQ504="Y",IF($CS504="Employment","N/A",VLOOKUP($CM504,'SBA Size Standards'!$B$3:$G$57,MATCH('SBA Size Standards'!$E$3,'SBA Size Standards'!$B$3:$G$3,0),FALSE)),"")</f>
        <v/>
      </c>
      <c r="CU504" s="86" t="str">
        <f>IF($CQ504="Y",IF($CS504="Revenue","N/A",VLOOKUP($CM504,'SBA Size Standards'!$B$3:$G$57,MATCH('SBA Size Standards'!$F$3,'SBA Size Standards'!$B$3:$G$3,0),FALSE)),"")</f>
        <v/>
      </c>
      <c r="CV504" t="str">
        <f>IF($CQ504="Y",IF(OR(AND($CS504="Employment",$CL504&lt;$CU504),AND($CS504="Revenue",$CK504&lt;$CT504)),"YES","NO"),"")</f>
        <v/>
      </c>
      <c r="CW504" s="90" t="str">
        <f>IF($CQ504="Y",INDEX('SBA Size Standards'!$N$3:$N$12,MATCH($CK504,'SBA Size Standards'!$O$3:$O$12,1)),"")</f>
        <v/>
      </c>
      <c r="CX504" s="122" t="s">
        <v>5016</v>
      </c>
      <c r="CY504" s="122">
        <f>INDEX('NM O&amp;G Production'!$P$3:$P$537,MATCH(CX504,'NM O&amp;G Production'!$Q$3:$Q$537,0))</f>
        <v>130</v>
      </c>
      <c r="CZ504" s="122" t="str">
        <f>INDEX('NM O&amp;G Production'!$O$3:$O$537,MATCH(CY504,'NM O&amp;G Production'!$P$3:$P$537,0))</f>
        <v>Yes</v>
      </c>
      <c r="DA504" s="127">
        <f>INDEX('NM O&amp;G Production'!$K$3:$O$537,MATCH($CY504,'NM O&amp;G Production'!$P$3:$P$537,0),MATCH(DA$2,'NM O&amp;G Production'!$K$2:$O$2,0))</f>
        <v>0</v>
      </c>
      <c r="DB504" s="127">
        <f>INDEX('NM O&amp;G Production'!$K$3:$O$537,MATCH($CY504,'NM O&amp;G Production'!$P$3:$P$537,0),MATCH(DB$2,'NM O&amp;G Production'!$K$2:$O$2,0))</f>
        <v>58</v>
      </c>
      <c r="DC504" s="127"/>
      <c r="DD504" s="127">
        <f>INDEX('NM O&amp;G Production'!$K$3:$O$537,MATCH($CY504,'NM O&amp;G Production'!$P$3:$P$537,0),MATCH(DD$2,'NM O&amp;G Production'!$K$2:$O$2,0))</f>
        <v>0</v>
      </c>
      <c r="DE504" s="127">
        <f>INDEX('NM O&amp;G Production'!$K$3:$O$537,MATCH($CY504,'NM O&amp;G Production'!$P$3:$P$537,0),MATCH(DE$2,'NM O&amp;G Production'!$K$2:$O$2,0))</f>
        <v>8052</v>
      </c>
      <c r="DF504" s="258">
        <f>CK504/(DB504+DA504)</f>
        <v>0</v>
      </c>
      <c r="DG504" s="57">
        <f>DD504*(12/18)*1.06*'Oil and Gas Prices'!$C$18</f>
        <v>0</v>
      </c>
      <c r="DH504" s="284">
        <f>DE504*(12/18)*'Oil and Gas Prices'!$C$4</f>
        <v>241560</v>
      </c>
      <c r="DI504" s="284">
        <f>DG504+DH504</f>
        <v>241560</v>
      </c>
      <c r="DJ504" s="57">
        <f>(DG504+DH504)/(DA504+DB504)</f>
        <v>4164.8275862068967</v>
      </c>
      <c r="DK504" s="18">
        <f>CK504/DI504</f>
        <v>0</v>
      </c>
    </row>
    <row r="505" spans="1:115" x14ac:dyDescent="0.25">
      <c r="A505" t="s">
        <v>327</v>
      </c>
      <c r="B505" t="s">
        <v>328</v>
      </c>
      <c r="D505" t="s">
        <v>329</v>
      </c>
      <c r="E505" t="s">
        <v>61</v>
      </c>
      <c r="F505">
        <v>80160</v>
      </c>
      <c r="G505" t="s">
        <v>62</v>
      </c>
      <c r="I505">
        <v>34</v>
      </c>
      <c r="O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c r="CL505"/>
      <c r="CM505" s="21"/>
      <c r="CN505" s="61">
        <f>IF($BH505="",1,COUNTIF($BH$3:$BH505,$BH505))</f>
        <v>1</v>
      </c>
      <c r="CP505" t="str">
        <f>IF($K505="Standard Match","Match",IF($K505="Name Only Match",IF($CO505="Yes","Match","Name Only Match"),"No Match"))</f>
        <v>No Match</v>
      </c>
      <c r="CQ505" s="35" t="str">
        <f>IF(AND(CP505="Match",CK505&gt;0,CL505&gt;0),"Y","N")</f>
        <v>N</v>
      </c>
      <c r="CS505" t="str">
        <f>IF($CQ505="Y",VLOOKUP($CM505,'SBA Size Standards'!$B$3:$G$57,MATCH('SBA Size Standards'!$G$3,'SBA Size Standards'!$B$3:$G$3,0),FALSE),"")</f>
        <v/>
      </c>
      <c r="CT505" s="60" t="str">
        <f>IF(CQ505="Y",IF($CS505="Employment","N/A",VLOOKUP($CM505,'SBA Size Standards'!$B$3:$G$57,MATCH('SBA Size Standards'!$E$3,'SBA Size Standards'!$B$3:$G$3,0),FALSE)),"")</f>
        <v/>
      </c>
      <c r="CU505" s="86" t="str">
        <f>IF($CQ505="Y",IF($CS505="Revenue","N/A",VLOOKUP($CM505,'SBA Size Standards'!$B$3:$G$57,MATCH('SBA Size Standards'!$F$3,'SBA Size Standards'!$B$3:$G$3,0),FALSE)),"")</f>
        <v/>
      </c>
      <c r="CV505" t="str">
        <f>IF($CQ505="Y",IF(OR(AND($CS505="Employment",$CL505&lt;$CU505),AND($CS505="Revenue",$CK505&lt;$CT505)),"YES","NO"),"")</f>
        <v/>
      </c>
      <c r="CW505" s="90" t="str">
        <f>IF($CQ505="Y",INDEX('SBA Size Standards'!$N$3:$N$12,MATCH($CK505,'SBA Size Standards'!$O$3:$O$12,1)),"")</f>
        <v/>
      </c>
      <c r="CX505" s="122" t="s">
        <v>5010</v>
      </c>
      <c r="CY505" s="122">
        <f>INDEX('NM O&amp;G Production'!$P$3:$P$537,MATCH(CX505,'NM O&amp;G Production'!$Q$3:$Q$537,0))</f>
        <v>34</v>
      </c>
      <c r="CZ505" s="122" t="str">
        <f>INDEX('NM O&amp;G Production'!$O$3:$O$537,MATCH(CY505,'NM O&amp;G Production'!$P$3:$P$537,0))</f>
        <v>Yes</v>
      </c>
      <c r="DA505" s="127">
        <f>INDEX('NM O&amp;G Production'!$K$3:$O$537,MATCH($CY505,'NM O&amp;G Production'!$P$3:$P$537,0),MATCH(DA$2,'NM O&amp;G Production'!$K$2:$O$2,0))</f>
        <v>0</v>
      </c>
      <c r="DB505" s="127">
        <f>INDEX('NM O&amp;G Production'!$K$3:$O$537,MATCH($CY505,'NM O&amp;G Production'!$P$3:$P$537,0),MATCH(DB$2,'NM O&amp;G Production'!$K$2:$O$2,0))</f>
        <v>20</v>
      </c>
      <c r="DC505" s="127"/>
      <c r="DD505" s="127">
        <f>INDEX('NM O&amp;G Production'!$K$3:$O$537,MATCH($CY505,'NM O&amp;G Production'!$P$3:$P$537,0),MATCH(DD$2,'NM O&amp;G Production'!$K$2:$O$2,0))</f>
        <v>0</v>
      </c>
      <c r="DE505" s="127">
        <f>INDEX('NM O&amp;G Production'!$K$3:$O$537,MATCH($CY505,'NM O&amp;G Production'!$P$3:$P$537,0),MATCH(DE$2,'NM O&amp;G Production'!$K$2:$O$2,0))</f>
        <v>2721</v>
      </c>
      <c r="DF505" s="258">
        <f>CK505/(DB505+DA505)</f>
        <v>0</v>
      </c>
      <c r="DG505" s="57">
        <f>DD505*(12/18)*1.06*'Oil and Gas Prices'!$C$18</f>
        <v>0</v>
      </c>
      <c r="DH505" s="284">
        <f>DE505*(12/18)*'Oil and Gas Prices'!$C$4</f>
        <v>81630</v>
      </c>
      <c r="DI505" s="284">
        <f>DG505+DH505</f>
        <v>81630</v>
      </c>
      <c r="DJ505" s="57">
        <f>(DG505+DH505)/(DA505+DB505)</f>
        <v>4081.5</v>
      </c>
      <c r="DK505" s="18">
        <f>CK505/DI505</f>
        <v>0</v>
      </c>
    </row>
    <row r="506" spans="1:115" x14ac:dyDescent="0.25">
      <c r="A506" t="s">
        <v>2882</v>
      </c>
      <c r="B506" t="s">
        <v>2883</v>
      </c>
      <c r="D506" t="s">
        <v>83</v>
      </c>
      <c r="E506" t="s">
        <v>84</v>
      </c>
      <c r="F506">
        <v>88210</v>
      </c>
      <c r="G506" t="s">
        <v>62</v>
      </c>
      <c r="I506">
        <v>418</v>
      </c>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c r="CL506"/>
      <c r="CM506" s="21"/>
      <c r="CN506" s="61">
        <f>IF($BH506="",1,COUNTIF($BH$3:$BH506,$BH506))</f>
        <v>1</v>
      </c>
      <c r="CP506" t="str">
        <f>IF($K506="Standard Match","Match",IF($K506="Name Only Match",IF($CO506="Yes","Match","Name Only Match"),"No Match"))</f>
        <v>No Match</v>
      </c>
      <c r="CQ506" s="35" t="str">
        <f>IF(AND(CP506="Match",CK506&gt;0,CL506&gt;0),"Y","N")</f>
        <v>N</v>
      </c>
      <c r="CS506" t="str">
        <f>IF($CQ506="Y",VLOOKUP($CM506,'SBA Size Standards'!$B$3:$G$57,MATCH('SBA Size Standards'!$G$3,'SBA Size Standards'!$B$3:$G$3,0),FALSE),"")</f>
        <v/>
      </c>
      <c r="CT506" s="60" t="str">
        <f>IF(CQ506="Y",IF($CS506="Employment","N/A",VLOOKUP($CM506,'SBA Size Standards'!$B$3:$G$57,MATCH('SBA Size Standards'!$E$3,'SBA Size Standards'!$B$3:$G$3,0),FALSE)),"")</f>
        <v/>
      </c>
      <c r="CU506" s="86" t="str">
        <f>IF($CQ506="Y",IF($CS506="Revenue","N/A",VLOOKUP($CM506,'SBA Size Standards'!$B$3:$G$57,MATCH('SBA Size Standards'!$F$3,'SBA Size Standards'!$B$3:$G$3,0),FALSE)),"")</f>
        <v/>
      </c>
      <c r="CV506" t="str">
        <f>IF($CQ506="Y",IF(OR(AND($CS506="Employment",$CL506&lt;$CU506),AND($CS506="Revenue",$CK506&lt;$CT506)),"YES","NO"),"")</f>
        <v/>
      </c>
      <c r="CW506" s="90" t="str">
        <f>IF($CQ506="Y",INDEX('SBA Size Standards'!$N$3:$N$12,MATCH($CK506,'SBA Size Standards'!$O$3:$O$12,1)),"")</f>
        <v/>
      </c>
      <c r="CX506" s="122" t="s">
        <v>5044</v>
      </c>
      <c r="CY506" s="122">
        <f>INDEX('NM O&amp;G Production'!$P$3:$P$537,MATCH(CX506,'NM O&amp;G Production'!$Q$3:$Q$537,0))</f>
        <v>418</v>
      </c>
      <c r="CZ506" s="122" t="str">
        <f>INDEX('NM O&amp;G Production'!$O$3:$O$537,MATCH(CY506,'NM O&amp;G Production'!$P$3:$P$537,0))</f>
        <v>Yes</v>
      </c>
      <c r="DA506" s="127">
        <f>INDEX('NM O&amp;G Production'!$K$3:$O$537,MATCH($CY506,'NM O&amp;G Production'!$P$3:$P$537,0),MATCH(DA$2,'NM O&amp;G Production'!$K$2:$O$2,0))</f>
        <v>0</v>
      </c>
      <c r="DB506" s="127">
        <f>INDEX('NM O&amp;G Production'!$K$3:$O$537,MATCH($CY506,'NM O&amp;G Production'!$P$3:$P$537,0),MATCH(DB$2,'NM O&amp;G Production'!$K$2:$O$2,0))</f>
        <v>18</v>
      </c>
      <c r="DC506" s="127"/>
      <c r="DD506" s="127">
        <f>INDEX('NM O&amp;G Production'!$K$3:$O$537,MATCH($CY506,'NM O&amp;G Production'!$P$3:$P$537,0),MATCH(DD$2,'NM O&amp;G Production'!$K$2:$O$2,0))</f>
        <v>0</v>
      </c>
      <c r="DE506" s="127">
        <f>INDEX('NM O&amp;G Production'!$K$3:$O$537,MATCH($CY506,'NM O&amp;G Production'!$P$3:$P$537,0),MATCH(DE$2,'NM O&amp;G Production'!$K$2:$O$2,0))</f>
        <v>2245</v>
      </c>
      <c r="DF506" s="258">
        <f>CK506/(DB506+DA506)</f>
        <v>0</v>
      </c>
      <c r="DG506" s="57">
        <f>DD506*(12/18)*1.06*'Oil and Gas Prices'!$C$18</f>
        <v>0</v>
      </c>
      <c r="DH506" s="284">
        <f>DE506*(12/18)*'Oil and Gas Prices'!$C$4</f>
        <v>67350</v>
      </c>
      <c r="DI506" s="284">
        <f>DG506+DH506</f>
        <v>67350</v>
      </c>
      <c r="DJ506" s="57">
        <f>(DG506+DH506)/(DA506+DB506)</f>
        <v>3741.6666666666665</v>
      </c>
      <c r="DK506" s="18">
        <f>CK506/DI506</f>
        <v>0</v>
      </c>
    </row>
    <row r="507" spans="1:115" x14ac:dyDescent="0.25">
      <c r="A507" t="s">
        <v>2950</v>
      </c>
      <c r="B507" t="s">
        <v>2951</v>
      </c>
      <c r="C507" t="s">
        <v>477</v>
      </c>
      <c r="D507" t="s">
        <v>83</v>
      </c>
      <c r="E507" t="s">
        <v>84</v>
      </c>
      <c r="F507">
        <v>88210</v>
      </c>
      <c r="G507" t="s">
        <v>62</v>
      </c>
      <c r="I507">
        <v>429</v>
      </c>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c r="CL507"/>
      <c r="CM507" s="21"/>
      <c r="CN507" s="61">
        <f>IF($BH507="",1,COUNTIF($BH$3:$BH507,$BH507))</f>
        <v>1</v>
      </c>
      <c r="CP507" t="str">
        <f>IF($K507="Standard Match","Match",IF($K507="Name Only Match",IF($CO507="Yes","Match","Name Only Match"),"No Match"))</f>
        <v>No Match</v>
      </c>
      <c r="CQ507" s="35" t="str">
        <f>IF(AND(CP507="Match",CK507&gt;0,CL507&gt;0),"Y","N")</f>
        <v>N</v>
      </c>
      <c r="CS507" t="str">
        <f>IF($CQ507="Y",VLOOKUP($CM507,'SBA Size Standards'!$B$3:$G$57,MATCH('SBA Size Standards'!$G$3,'SBA Size Standards'!$B$3:$G$3,0),FALSE),"")</f>
        <v/>
      </c>
      <c r="CT507" s="60" t="str">
        <f>IF(CQ507="Y",IF($CS507="Employment","N/A",VLOOKUP($CM507,'SBA Size Standards'!$B$3:$G$57,MATCH('SBA Size Standards'!$E$3,'SBA Size Standards'!$B$3:$G$3,0),FALSE)),"")</f>
        <v/>
      </c>
      <c r="CU507" s="86" t="str">
        <f>IF($CQ507="Y",IF($CS507="Revenue","N/A",VLOOKUP($CM507,'SBA Size Standards'!$B$3:$G$57,MATCH('SBA Size Standards'!$F$3,'SBA Size Standards'!$B$3:$G$3,0),FALSE)),"")</f>
        <v/>
      </c>
      <c r="CV507" t="str">
        <f>IF($CQ507="Y",IF(OR(AND($CS507="Employment",$CL507&lt;$CU507),AND($CS507="Revenue",$CK507&lt;$CT507)),"YES","NO"),"")</f>
        <v/>
      </c>
      <c r="CW507" s="90" t="str">
        <f>IF($CQ507="Y",INDEX('SBA Size Standards'!$N$3:$N$12,MATCH($CK507,'SBA Size Standards'!$O$3:$O$12,1)),"")</f>
        <v/>
      </c>
      <c r="CX507" s="122" t="s">
        <v>5045</v>
      </c>
      <c r="CY507" s="122">
        <f>INDEX('NM O&amp;G Production'!$P$3:$P$537,MATCH(CX507,'NM O&amp;G Production'!$Q$3:$Q$537,0))</f>
        <v>429</v>
      </c>
      <c r="CZ507" s="122" t="str">
        <f>INDEX('NM O&amp;G Production'!$O$3:$O$537,MATCH(CY507,'NM O&amp;G Production'!$P$3:$P$537,0))</f>
        <v>Yes</v>
      </c>
      <c r="DA507" s="127">
        <f>INDEX('NM O&amp;G Production'!$K$3:$O$537,MATCH($CY507,'NM O&amp;G Production'!$P$3:$P$537,0),MATCH(DA$2,'NM O&amp;G Production'!$K$2:$O$2,0))</f>
        <v>0</v>
      </c>
      <c r="DB507" s="127">
        <f>INDEX('NM O&amp;G Production'!$K$3:$O$537,MATCH($CY507,'NM O&amp;G Production'!$P$3:$P$537,0),MATCH(DB$2,'NM O&amp;G Production'!$K$2:$O$2,0))</f>
        <v>29</v>
      </c>
      <c r="DC507" s="127"/>
      <c r="DD507" s="127">
        <f>INDEX('NM O&amp;G Production'!$K$3:$O$537,MATCH($CY507,'NM O&amp;G Production'!$P$3:$P$537,0),MATCH(DD$2,'NM O&amp;G Production'!$K$2:$O$2,0))</f>
        <v>18528</v>
      </c>
      <c r="DE507" s="127">
        <f>INDEX('NM O&amp;G Production'!$K$3:$O$537,MATCH($CY507,'NM O&amp;G Production'!$P$3:$P$537,0),MATCH(DE$2,'NM O&amp;G Production'!$K$2:$O$2,0))</f>
        <v>2505</v>
      </c>
      <c r="DF507" s="258">
        <f>CK507/(DB507+DA507)</f>
        <v>0</v>
      </c>
      <c r="DG507" s="57">
        <f>DD507*(12/18)*1.06*'Oil and Gas Prices'!$C$18</f>
        <v>31292.556800000002</v>
      </c>
      <c r="DH507" s="284">
        <f>DE507*(12/18)*'Oil and Gas Prices'!$C$4</f>
        <v>75150</v>
      </c>
      <c r="DI507" s="284">
        <f>DG507+DH507</f>
        <v>106442.55680000001</v>
      </c>
      <c r="DJ507" s="57">
        <f>(DG507+DH507)/(DA507+DB507)</f>
        <v>3670.4329931034486</v>
      </c>
      <c r="DK507" s="18">
        <f>CK507/DI507</f>
        <v>0</v>
      </c>
    </row>
    <row r="508" spans="1:115" x14ac:dyDescent="0.25">
      <c r="A508" t="s">
        <v>2400</v>
      </c>
      <c r="B508" t="s">
        <v>2401</v>
      </c>
      <c r="D508" t="s">
        <v>523</v>
      </c>
      <c r="E508" t="s">
        <v>80</v>
      </c>
      <c r="F508">
        <v>79761</v>
      </c>
      <c r="G508" t="s">
        <v>62</v>
      </c>
      <c r="I508">
        <v>341</v>
      </c>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c r="CL508"/>
      <c r="CM508" s="21"/>
      <c r="CN508" s="61">
        <f>IF($BH508="",1,COUNTIF($BH$3:$BH508,$BH508))</f>
        <v>1</v>
      </c>
      <c r="CP508" t="str">
        <f>IF($K508="Standard Match","Match",IF($K508="Name Only Match",IF($CO508="Yes","Match","Name Only Match"),"No Match"))</f>
        <v>No Match</v>
      </c>
      <c r="CQ508" s="35" t="str">
        <f>IF(AND(CP508="Match",CK508&gt;0,CL508&gt;0),"Y","N")</f>
        <v>N</v>
      </c>
      <c r="CS508" t="str">
        <f>IF($CQ508="Y",VLOOKUP($CM508,'SBA Size Standards'!$B$3:$G$57,MATCH('SBA Size Standards'!$G$3,'SBA Size Standards'!$B$3:$G$3,0),FALSE),"")</f>
        <v/>
      </c>
      <c r="CT508" s="60" t="str">
        <f>IF(CQ508="Y",IF($CS508="Employment","N/A",VLOOKUP($CM508,'SBA Size Standards'!$B$3:$G$57,MATCH('SBA Size Standards'!$E$3,'SBA Size Standards'!$B$3:$G$3,0),FALSE)),"")</f>
        <v/>
      </c>
      <c r="CU508" s="86" t="str">
        <f>IF($CQ508="Y",IF($CS508="Revenue","N/A",VLOOKUP($CM508,'SBA Size Standards'!$B$3:$G$57,MATCH('SBA Size Standards'!$F$3,'SBA Size Standards'!$B$3:$G$3,0),FALSE)),"")</f>
        <v/>
      </c>
      <c r="CV508" t="str">
        <f>IF($CQ508="Y",IF(OR(AND($CS508="Employment",$CL508&lt;$CU508),AND($CS508="Revenue",$CK508&lt;$CT508)),"YES","NO"),"")</f>
        <v/>
      </c>
      <c r="CW508" s="90" t="str">
        <f>IF($CQ508="Y",INDEX('SBA Size Standards'!$N$3:$N$12,MATCH($CK508,'SBA Size Standards'!$O$3:$O$12,1)),"")</f>
        <v/>
      </c>
      <c r="CX508" s="122" t="s">
        <v>5040</v>
      </c>
      <c r="CY508" s="122">
        <f>INDEX('NM O&amp;G Production'!$P$3:$P$537,MATCH(CX508,'NM O&amp;G Production'!$Q$3:$Q$537,0))</f>
        <v>341</v>
      </c>
      <c r="CZ508" s="122" t="str">
        <f>INDEX('NM O&amp;G Production'!$O$3:$O$537,MATCH(CY508,'NM O&amp;G Production'!$P$3:$P$537,0))</f>
        <v>Yes</v>
      </c>
      <c r="DA508" s="127">
        <f>INDEX('NM O&amp;G Production'!$K$3:$O$537,MATCH($CY508,'NM O&amp;G Production'!$P$3:$P$537,0),MATCH(DA$2,'NM O&amp;G Production'!$K$2:$O$2,0))</f>
        <v>0</v>
      </c>
      <c r="DB508" s="127">
        <f>INDEX('NM O&amp;G Production'!$K$3:$O$537,MATCH($CY508,'NM O&amp;G Production'!$P$3:$P$537,0),MATCH(DB$2,'NM O&amp;G Production'!$K$2:$O$2,0))</f>
        <v>3</v>
      </c>
      <c r="DC508" s="127"/>
      <c r="DD508" s="127">
        <f>INDEX('NM O&amp;G Production'!$K$3:$O$537,MATCH($CY508,'NM O&amp;G Production'!$P$3:$P$537,0),MATCH(DD$2,'NM O&amp;G Production'!$K$2:$O$2,0))</f>
        <v>0</v>
      </c>
      <c r="DE508" s="127">
        <f>INDEX('NM O&amp;G Production'!$K$3:$O$537,MATCH($CY508,'NM O&amp;G Production'!$P$3:$P$537,0),MATCH(DE$2,'NM O&amp;G Production'!$K$2:$O$2,0))</f>
        <v>355</v>
      </c>
      <c r="DF508" s="258">
        <f>CK508/(DB508+DA508)</f>
        <v>0</v>
      </c>
      <c r="DG508" s="57">
        <f>DD508*(12/18)*1.06*'Oil and Gas Prices'!$C$18</f>
        <v>0</v>
      </c>
      <c r="DH508" s="284">
        <f>DE508*(12/18)*'Oil and Gas Prices'!$C$4</f>
        <v>10650</v>
      </c>
      <c r="DI508" s="284">
        <f>DG508+DH508</f>
        <v>10650</v>
      </c>
      <c r="DJ508" s="57">
        <f>(DG508+DH508)/(DA508+DB508)</f>
        <v>3550</v>
      </c>
      <c r="DK508" s="18">
        <f>CK508/DI508</f>
        <v>0</v>
      </c>
    </row>
    <row r="509" spans="1:115" x14ac:dyDescent="0.25">
      <c r="A509" s="27" t="s">
        <v>1321</v>
      </c>
      <c r="B509" t="s">
        <v>1322</v>
      </c>
      <c r="D509" t="s">
        <v>123</v>
      </c>
      <c r="E509" t="s">
        <v>84</v>
      </c>
      <c r="F509">
        <v>84499</v>
      </c>
      <c r="G509" t="s">
        <v>62</v>
      </c>
      <c r="I509">
        <v>173</v>
      </c>
      <c r="J509" t="s">
        <v>63</v>
      </c>
      <c r="K509" t="s">
        <v>4134</v>
      </c>
      <c r="L509" t="s">
        <v>3627</v>
      </c>
      <c r="M509">
        <v>8</v>
      </c>
      <c r="N509" t="s">
        <v>3857</v>
      </c>
      <c r="O509" t="s">
        <v>3858</v>
      </c>
      <c r="Q509" t="s">
        <v>3859</v>
      </c>
      <c r="R509" t="s">
        <v>88</v>
      </c>
      <c r="S509" t="s">
        <v>94</v>
      </c>
      <c r="T509" t="s">
        <v>3860</v>
      </c>
      <c r="U509" t="s">
        <v>62</v>
      </c>
      <c r="V509">
        <v>4084818000</v>
      </c>
      <c r="W509" s="1">
        <v>77447</v>
      </c>
      <c r="X509">
        <v>2</v>
      </c>
      <c r="Y509">
        <v>2</v>
      </c>
      <c r="Z509">
        <v>2017</v>
      </c>
      <c r="AA509" t="s">
        <v>70</v>
      </c>
      <c r="AB509" t="s">
        <v>3861</v>
      </c>
      <c r="AC509" t="s">
        <v>677</v>
      </c>
      <c r="AD509" t="s">
        <v>3862</v>
      </c>
      <c r="AE509">
        <v>3812</v>
      </c>
      <c r="AF509" t="s">
        <v>3863</v>
      </c>
      <c r="AI509">
        <v>38120000</v>
      </c>
      <c r="AJ509" t="s">
        <v>3864</v>
      </c>
      <c r="AM509">
        <v>334511</v>
      </c>
      <c r="AN509" t="s">
        <v>3865</v>
      </c>
      <c r="AQ509" t="s">
        <v>75</v>
      </c>
      <c r="AT509" t="s">
        <v>76</v>
      </c>
      <c r="BF509">
        <v>0</v>
      </c>
      <c r="BG509">
        <v>0</v>
      </c>
      <c r="CK509"/>
      <c r="CL509"/>
      <c r="CN509" s="35">
        <f>IF($BH509="",1,COUNTIF($BH$3:$BH509,$BH509))</f>
        <v>1</v>
      </c>
      <c r="CO509" s="21" t="s">
        <v>4385</v>
      </c>
      <c r="CP509" t="str">
        <f>IF($K509="Standard Match","Match",IF($K509="Name Only Match",IF($CO509="Yes","Match","Name Only Match"),"No Match"))</f>
        <v>Name Only Match</v>
      </c>
      <c r="CQ509" s="35" t="str">
        <f>IF(AND(CP509="Match",CK509&gt;0,CL509&gt;0),"Y","N")</f>
        <v>N</v>
      </c>
      <c r="CR509" s="21" t="s">
        <v>4383</v>
      </c>
      <c r="CS509" t="str">
        <f>IF($CQ509="Y",VLOOKUP($CM509,'SBA Size Standards'!$B$3:$G$57,MATCH('SBA Size Standards'!$G$3,'SBA Size Standards'!$B$3:$G$3,0),FALSE),"")</f>
        <v/>
      </c>
      <c r="CT509" s="60" t="str">
        <f>IF(CQ509="Y",IF($CS509="Employment","N/A",VLOOKUP($CM509,'SBA Size Standards'!$B$3:$G$57,MATCH('SBA Size Standards'!$E$3,'SBA Size Standards'!$B$3:$G$3,0),FALSE)),"")</f>
        <v/>
      </c>
      <c r="CU509" s="86" t="str">
        <f>IF($CQ509="Y",IF($CS509="Revenue","N/A",VLOOKUP($CM509,'SBA Size Standards'!$B$3:$G$57,MATCH('SBA Size Standards'!$F$3,'SBA Size Standards'!$B$3:$G$3,0),FALSE)),"")</f>
        <v/>
      </c>
      <c r="CV509" t="str">
        <f>IF($CQ509="Y",IF(OR(AND($CS509="Employment",$CL509&lt;$CU509),AND($CS509="Revenue",$CK509&lt;$CT509)),"YES","NO"),"")</f>
        <v/>
      </c>
      <c r="CW509" s="90" t="str">
        <f>IF($CQ509="Y",INDEX('SBA Size Standards'!$N$3:$N$12,MATCH($CK509,'SBA Size Standards'!$O$3:$O$12,1)),"")</f>
        <v/>
      </c>
      <c r="CX509" s="122" t="s">
        <v>4959</v>
      </c>
      <c r="CY509" s="122">
        <f>INDEX('NM O&amp;G Production'!$P$3:$P$537,MATCH(CX509,'NM O&amp;G Production'!$Q$3:$Q$537,0))</f>
        <v>173</v>
      </c>
      <c r="CZ509" s="122" t="str">
        <f>INDEX('NM O&amp;G Production'!$O$3:$O$537,MATCH(CY509,'NM O&amp;G Production'!$P$3:$P$537,0))</f>
        <v>No</v>
      </c>
      <c r="DA509" s="127">
        <f>INDEX('NM O&amp;G Production'!$K$3:$O$537,MATCH($CY509,'NM O&amp;G Production'!$P$3:$P$537,0),MATCH(DA$2,'NM O&amp;G Production'!$K$2:$O$2,0))</f>
        <v>0</v>
      </c>
      <c r="DB509" s="127">
        <f>INDEX('NM O&amp;G Production'!$K$3:$O$537,MATCH($CY509,'NM O&amp;G Production'!$P$3:$P$537,0),MATCH(DB$2,'NM O&amp;G Production'!$K$2:$O$2,0))</f>
        <v>0</v>
      </c>
      <c r="DC509" s="127"/>
      <c r="DD509" s="127">
        <f>INDEX('NM O&amp;G Production'!$K$3:$O$537,MATCH($CY509,'NM O&amp;G Production'!$P$3:$P$537,0),MATCH(DD$2,'NM O&amp;G Production'!$K$2:$O$2,0))</f>
        <v>0</v>
      </c>
      <c r="DE509" s="127">
        <f>INDEX('NM O&amp;G Production'!$K$3:$O$537,MATCH($CY509,'NM O&amp;G Production'!$P$3:$P$537,0),MATCH(DE$2,'NM O&amp;G Production'!$K$2:$O$2,0))</f>
        <v>0</v>
      </c>
      <c r="DF509" s="258" t="e">
        <f>CK509/(DB509+DA509)</f>
        <v>#DIV/0!</v>
      </c>
      <c r="DG509" s="57">
        <f>DD509*(12/18)*1.06*'Oil and Gas Prices'!$C$18</f>
        <v>0</v>
      </c>
      <c r="DH509" s="284">
        <f>DE509*(12/18)*'Oil and Gas Prices'!$C$4</f>
        <v>0</v>
      </c>
      <c r="DI509" s="284"/>
      <c r="DJ509" s="57" t="e">
        <f>(DG509+DH509)/(DA509+DB509)</f>
        <v>#DIV/0!</v>
      </c>
      <c r="DK509" s="18" t="e">
        <f>CK509/DI509</f>
        <v>#DIV/0!</v>
      </c>
    </row>
    <row r="510" spans="1:115" x14ac:dyDescent="0.25">
      <c r="A510" t="s">
        <v>1651</v>
      </c>
      <c r="B510" t="s">
        <v>1652</v>
      </c>
      <c r="D510" t="s">
        <v>1653</v>
      </c>
      <c r="E510" t="s">
        <v>61</v>
      </c>
      <c r="F510">
        <v>80111</v>
      </c>
      <c r="G510" t="s">
        <v>62</v>
      </c>
      <c r="I510">
        <v>224</v>
      </c>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c r="CL510"/>
      <c r="CM510" s="21"/>
      <c r="CN510" s="61">
        <f>IF($BH510="",1,COUNTIF($BH$3:$BH510,$BH510))</f>
        <v>1</v>
      </c>
      <c r="CP510" t="str">
        <f>IF($K510="Standard Match","Match",IF($K510="Name Only Match",IF($CO510="Yes","Match","Name Only Match"),"No Match"))</f>
        <v>No Match</v>
      </c>
      <c r="CQ510" s="35" t="str">
        <f>IF(AND(CP510="Match",CK510&gt;0,CL510&gt;0),"Y","N")</f>
        <v>N</v>
      </c>
      <c r="CS510" t="str">
        <f>IF($CQ510="Y",VLOOKUP($CM510,'SBA Size Standards'!$B$3:$G$57,MATCH('SBA Size Standards'!$G$3,'SBA Size Standards'!$B$3:$G$3,0),FALSE),"")</f>
        <v/>
      </c>
      <c r="CT510" s="60" t="str">
        <f>IF(CQ510="Y",IF($CS510="Employment","N/A",VLOOKUP($CM510,'SBA Size Standards'!$B$3:$G$57,MATCH('SBA Size Standards'!$E$3,'SBA Size Standards'!$B$3:$G$3,0),FALSE)),"")</f>
        <v/>
      </c>
      <c r="CU510" s="86" t="str">
        <f>IF($CQ510="Y",IF($CS510="Revenue","N/A",VLOOKUP($CM510,'SBA Size Standards'!$B$3:$G$57,MATCH('SBA Size Standards'!$F$3,'SBA Size Standards'!$B$3:$G$3,0),FALSE)),"")</f>
        <v/>
      </c>
      <c r="CV510" t="str">
        <f>IF($CQ510="Y",IF(OR(AND($CS510="Employment",$CL510&lt;$CU510),AND($CS510="Revenue",$CK510&lt;$CT510)),"YES","NO"),"")</f>
        <v/>
      </c>
      <c r="CW510" s="90" t="str">
        <f>IF($CQ510="Y",INDEX('SBA Size Standards'!$N$3:$N$12,MATCH($CK510,'SBA Size Standards'!$O$3:$O$12,1)),"")</f>
        <v/>
      </c>
      <c r="CX510" s="122" t="s">
        <v>5025</v>
      </c>
      <c r="CY510" s="122">
        <f>INDEX('NM O&amp;G Production'!$P$3:$P$537,MATCH(CX510,'NM O&amp;G Production'!$Q$3:$Q$537,0))</f>
        <v>224</v>
      </c>
      <c r="CZ510" s="122" t="str">
        <f>INDEX('NM O&amp;G Production'!$O$3:$O$537,MATCH(CY510,'NM O&amp;G Production'!$P$3:$P$537,0))</f>
        <v>Yes</v>
      </c>
      <c r="DA510" s="127">
        <f>INDEX('NM O&amp;G Production'!$K$3:$O$537,MATCH($CY510,'NM O&amp;G Production'!$P$3:$P$537,0),MATCH(DA$2,'NM O&amp;G Production'!$K$2:$O$2,0))</f>
        <v>0</v>
      </c>
      <c r="DB510" s="127">
        <f>INDEX('NM O&amp;G Production'!$K$3:$O$537,MATCH($CY510,'NM O&amp;G Production'!$P$3:$P$537,0),MATCH(DB$2,'NM O&amp;G Production'!$K$2:$O$2,0))</f>
        <v>5</v>
      </c>
      <c r="DC510" s="127"/>
      <c r="DD510" s="127">
        <f>INDEX('NM O&amp;G Production'!$K$3:$O$537,MATCH($CY510,'NM O&amp;G Production'!$P$3:$P$537,0),MATCH(DD$2,'NM O&amp;G Production'!$K$2:$O$2,0))</f>
        <v>7475</v>
      </c>
      <c r="DE510" s="127">
        <f>INDEX('NM O&amp;G Production'!$K$3:$O$537,MATCH($CY510,'NM O&amp;G Production'!$P$3:$P$537,0),MATCH(DE$2,'NM O&amp;G Production'!$K$2:$O$2,0))</f>
        <v>0</v>
      </c>
      <c r="DF510" s="258">
        <f>CK510/(DB510+DA510)</f>
        <v>0</v>
      </c>
      <c r="DG510" s="57">
        <f>DD510*(12/18)*1.06*'Oil and Gas Prices'!$C$18</f>
        <v>12624.776666666667</v>
      </c>
      <c r="DH510" s="284">
        <f>DE510*(12/18)*'Oil and Gas Prices'!$C$4</f>
        <v>0</v>
      </c>
      <c r="DI510" s="284">
        <f>DG510+DH510</f>
        <v>12624.776666666667</v>
      </c>
      <c r="DJ510" s="57">
        <f>(DG510+DH510)/(DA510+DB510)</f>
        <v>2524.9553333333333</v>
      </c>
      <c r="DK510" s="18">
        <f>CK510/DI510</f>
        <v>0</v>
      </c>
    </row>
    <row r="511" spans="1:115" x14ac:dyDescent="0.25">
      <c r="A511" s="27" t="s">
        <v>1399</v>
      </c>
      <c r="B511" t="s">
        <v>1400</v>
      </c>
      <c r="D511" t="s">
        <v>183</v>
      </c>
      <c r="E511" t="s">
        <v>184</v>
      </c>
      <c r="F511">
        <v>74135</v>
      </c>
      <c r="G511" t="s">
        <v>62</v>
      </c>
      <c r="I511">
        <v>187</v>
      </c>
      <c r="J511" t="s">
        <v>63</v>
      </c>
      <c r="K511" t="s">
        <v>4134</v>
      </c>
      <c r="L511" t="s">
        <v>3627</v>
      </c>
      <c r="M511">
        <v>8</v>
      </c>
      <c r="N511" t="s">
        <v>3875</v>
      </c>
      <c r="O511" t="s">
        <v>3876</v>
      </c>
      <c r="Q511" t="s">
        <v>3877</v>
      </c>
      <c r="R511" t="s">
        <v>3878</v>
      </c>
      <c r="S511" t="s">
        <v>94</v>
      </c>
      <c r="T511" t="s">
        <v>3879</v>
      </c>
      <c r="U511" t="s">
        <v>62</v>
      </c>
      <c r="V511">
        <v>8309644998</v>
      </c>
      <c r="W511" s="1">
        <v>60790</v>
      </c>
      <c r="X511">
        <v>1</v>
      </c>
      <c r="Y511">
        <v>1</v>
      </c>
      <c r="Z511">
        <v>2008</v>
      </c>
      <c r="AA511" t="s">
        <v>70</v>
      </c>
      <c r="AD511" t="s">
        <v>914</v>
      </c>
      <c r="AE511">
        <v>7629</v>
      </c>
      <c r="AF511" t="s">
        <v>915</v>
      </c>
      <c r="AI511">
        <v>76299902</v>
      </c>
      <c r="AJ511" t="s">
        <v>3880</v>
      </c>
      <c r="AM511">
        <v>811212</v>
      </c>
      <c r="AN511" t="s">
        <v>3881</v>
      </c>
      <c r="AQ511" t="s">
        <v>75</v>
      </c>
      <c r="AT511" t="s">
        <v>76</v>
      </c>
      <c r="BF511">
        <v>0</v>
      </c>
      <c r="BG511">
        <v>0</v>
      </c>
      <c r="CK511"/>
      <c r="CL511"/>
      <c r="CN511" s="35">
        <f>IF($BH511="",1,COUNTIF($BH$3:$BH511,$BH511))</f>
        <v>1</v>
      </c>
      <c r="CO511" s="21" t="s">
        <v>4385</v>
      </c>
      <c r="CP511" t="str">
        <f>IF($K511="Standard Match","Match",IF($K511="Name Only Match",IF($CO511="Yes","Match","Name Only Match"),"No Match"))</f>
        <v>Name Only Match</v>
      </c>
      <c r="CQ511" s="35" t="str">
        <f>IF(AND(CP511="Match",CK511&gt;0,CL511&gt;0),"Y","N")</f>
        <v>N</v>
      </c>
      <c r="CR511" t="s">
        <v>4392</v>
      </c>
      <c r="CS511" t="str">
        <f>IF($CQ511="Y",VLOOKUP($CM511,'SBA Size Standards'!$B$3:$G$57,MATCH('SBA Size Standards'!$G$3,'SBA Size Standards'!$B$3:$G$3,0),FALSE),"")</f>
        <v/>
      </c>
      <c r="CT511" s="60" t="str">
        <f>IF(CQ511="Y",IF($CS511="Employment","N/A",VLOOKUP($CM511,'SBA Size Standards'!$B$3:$G$57,MATCH('SBA Size Standards'!$E$3,'SBA Size Standards'!$B$3:$G$3,0),FALSE)),"")</f>
        <v/>
      </c>
      <c r="CU511" s="86" t="str">
        <f>IF($CQ511="Y",IF($CS511="Revenue","N/A",VLOOKUP($CM511,'SBA Size Standards'!$B$3:$G$57,MATCH('SBA Size Standards'!$F$3,'SBA Size Standards'!$B$3:$G$3,0),FALSE)),"")</f>
        <v/>
      </c>
      <c r="CV511" t="str">
        <f>IF($CQ511="Y",IF(OR(AND($CS511="Employment",$CL511&lt;$CU511),AND($CS511="Revenue",$CK511&lt;$CT511)),"YES","NO"),"")</f>
        <v/>
      </c>
      <c r="CW511" s="90" t="str">
        <f>IF($CQ511="Y",INDEX('SBA Size Standards'!$N$3:$N$12,MATCH($CK511,'SBA Size Standards'!$O$3:$O$12,1)),"")</f>
        <v/>
      </c>
      <c r="CX511" s="122" t="s">
        <v>4962</v>
      </c>
      <c r="CY511" s="122">
        <f>INDEX('NM O&amp;G Production'!$P$3:$P$537,MATCH(CX511,'NM O&amp;G Production'!$Q$3:$Q$537,0))</f>
        <v>187</v>
      </c>
      <c r="CZ511" s="122" t="str">
        <f>INDEX('NM O&amp;G Production'!$O$3:$O$537,MATCH(CY511,'NM O&amp;G Production'!$P$3:$P$537,0))</f>
        <v>No</v>
      </c>
      <c r="DA511" s="127">
        <f>INDEX('NM O&amp;G Production'!$K$3:$O$537,MATCH($CY511,'NM O&amp;G Production'!$P$3:$P$537,0),MATCH(DA$2,'NM O&amp;G Production'!$K$2:$O$2,0))</f>
        <v>0</v>
      </c>
      <c r="DB511" s="127">
        <f>INDEX('NM O&amp;G Production'!$K$3:$O$537,MATCH($CY511,'NM O&amp;G Production'!$P$3:$P$537,0),MATCH(DB$2,'NM O&amp;G Production'!$K$2:$O$2,0))</f>
        <v>0</v>
      </c>
      <c r="DC511" s="127"/>
      <c r="DD511" s="127">
        <f>INDEX('NM O&amp;G Production'!$K$3:$O$537,MATCH($CY511,'NM O&amp;G Production'!$P$3:$P$537,0),MATCH(DD$2,'NM O&amp;G Production'!$K$2:$O$2,0))</f>
        <v>0</v>
      </c>
      <c r="DE511" s="127">
        <f>INDEX('NM O&amp;G Production'!$K$3:$O$537,MATCH($CY511,'NM O&amp;G Production'!$P$3:$P$537,0),MATCH(DE$2,'NM O&amp;G Production'!$K$2:$O$2,0))</f>
        <v>0</v>
      </c>
      <c r="DF511" s="258" t="e">
        <f>CK511/(DB511+DA511)</f>
        <v>#DIV/0!</v>
      </c>
      <c r="DG511" s="57">
        <f>DD511*(12/18)*1.06*'Oil and Gas Prices'!$C$18</f>
        <v>0</v>
      </c>
      <c r="DH511" s="284">
        <f>DE511*(12/18)*'Oil and Gas Prices'!$C$4</f>
        <v>0</v>
      </c>
      <c r="DI511" s="284"/>
      <c r="DJ511" s="57" t="e">
        <f>(DG511+DH511)/(DA511+DB511)</f>
        <v>#DIV/0!</v>
      </c>
      <c r="DK511" s="18" t="e">
        <f>CK511/DI511</f>
        <v>#DIV/0!</v>
      </c>
    </row>
    <row r="512" spans="1:115" x14ac:dyDescent="0.25">
      <c r="A512" s="27" t="s">
        <v>3574</v>
      </c>
      <c r="B512" t="s">
        <v>3575</v>
      </c>
      <c r="D512" t="s">
        <v>593</v>
      </c>
      <c r="E512" t="s">
        <v>84</v>
      </c>
      <c r="F512">
        <v>87410</v>
      </c>
      <c r="G512" t="s">
        <v>62</v>
      </c>
      <c r="I512">
        <v>526</v>
      </c>
      <c r="J512" t="s">
        <v>392</v>
      </c>
      <c r="K512" t="s">
        <v>4134</v>
      </c>
      <c r="L512" t="s">
        <v>3627</v>
      </c>
      <c r="M512">
        <v>8</v>
      </c>
      <c r="N512" t="s">
        <v>4036</v>
      </c>
      <c r="O512" t="s">
        <v>4037</v>
      </c>
      <c r="Q512" t="s">
        <v>4038</v>
      </c>
      <c r="R512" t="s">
        <v>4039</v>
      </c>
      <c r="S512" t="s">
        <v>4040</v>
      </c>
      <c r="T512" t="s">
        <v>4041</v>
      </c>
      <c r="U512" t="s">
        <v>62</v>
      </c>
      <c r="V512">
        <v>2486436400</v>
      </c>
      <c r="W512" s="1">
        <v>206730</v>
      </c>
      <c r="X512">
        <v>12</v>
      </c>
      <c r="Y512">
        <v>12</v>
      </c>
      <c r="Z512">
        <v>1947</v>
      </c>
      <c r="AA512" t="s">
        <v>70</v>
      </c>
      <c r="AB512" t="s">
        <v>4042</v>
      </c>
      <c r="AC512" t="s">
        <v>98</v>
      </c>
      <c r="AD512" t="s">
        <v>4043</v>
      </c>
      <c r="AE512">
        <v>3053</v>
      </c>
      <c r="AF512" t="s">
        <v>4044</v>
      </c>
      <c r="AI512">
        <v>30530100</v>
      </c>
      <c r="AJ512" t="s">
        <v>4045</v>
      </c>
      <c r="AM512">
        <v>339991</v>
      </c>
      <c r="AN512" t="s">
        <v>4046</v>
      </c>
      <c r="AQ512" t="s">
        <v>75</v>
      </c>
      <c r="AT512" t="s">
        <v>76</v>
      </c>
      <c r="BF512">
        <v>0</v>
      </c>
      <c r="BG512">
        <v>0</v>
      </c>
      <c r="CK512"/>
      <c r="CL512"/>
      <c r="CN512" s="35">
        <f>IF($BH512="",1,COUNTIF($BH$3:$BH512,$BH512))</f>
        <v>1</v>
      </c>
      <c r="CO512" s="21" t="s">
        <v>4385</v>
      </c>
      <c r="CP512" t="str">
        <f>IF($K512="Standard Match","Match",IF($K512="Name Only Match",IF($CO512="Yes","Match","Name Only Match"),"No Match"))</f>
        <v>Name Only Match</v>
      </c>
      <c r="CQ512" s="35" t="str">
        <f>IF(AND(CP512="Match",CK512&gt;0,CL512&gt;0),"Y","N")</f>
        <v>N</v>
      </c>
      <c r="CS512" t="str">
        <f>IF($CQ512="Y",VLOOKUP($CM512,'SBA Size Standards'!$B$3:$G$57,MATCH('SBA Size Standards'!$G$3,'SBA Size Standards'!$B$3:$G$3,0),FALSE),"")</f>
        <v/>
      </c>
      <c r="CT512" s="60" t="str">
        <f>IF(CQ512="Y",IF($CS512="Employment","N/A",VLOOKUP($CM512,'SBA Size Standards'!$B$3:$G$57,MATCH('SBA Size Standards'!$E$3,'SBA Size Standards'!$B$3:$G$3,0),FALSE)),"")</f>
        <v/>
      </c>
      <c r="CU512" s="86" t="str">
        <f>IF($CQ512="Y",IF($CS512="Revenue","N/A",VLOOKUP($CM512,'SBA Size Standards'!$B$3:$G$57,MATCH('SBA Size Standards'!$F$3,'SBA Size Standards'!$B$3:$G$3,0),FALSE)),"")</f>
        <v/>
      </c>
      <c r="CV512" t="str">
        <f>IF($CQ512="Y",IF(OR(AND($CS512="Employment",$CL512&lt;$CU512),AND($CS512="Revenue",$CK512&lt;$CT512)),"YES","NO"),"")</f>
        <v/>
      </c>
      <c r="CW512" s="90" t="str">
        <f>IF($CQ512="Y",INDEX('SBA Size Standards'!$N$3:$N$12,MATCH($CK512,'SBA Size Standards'!$O$3:$O$12,1)),"")</f>
        <v/>
      </c>
      <c r="CX512" s="122" t="s">
        <v>5004</v>
      </c>
      <c r="CY512" s="122">
        <f>INDEX('NM O&amp;G Production'!$P$3:$P$537,MATCH(CX512,'NM O&amp;G Production'!$Q$3:$Q$537,0))</f>
        <v>526</v>
      </c>
      <c r="CZ512" s="122" t="str">
        <f>INDEX('NM O&amp;G Production'!$O$3:$O$537,MATCH(CY512,'NM O&amp;G Production'!$P$3:$P$537,0))</f>
        <v>No</v>
      </c>
      <c r="DA512" s="127">
        <f>INDEX('NM O&amp;G Production'!$K$3:$O$537,MATCH($CY512,'NM O&amp;G Production'!$P$3:$P$537,0),MATCH(DA$2,'NM O&amp;G Production'!$K$2:$O$2,0))</f>
        <v>0</v>
      </c>
      <c r="DB512" s="127">
        <f>INDEX('NM O&amp;G Production'!$K$3:$O$537,MATCH($CY512,'NM O&amp;G Production'!$P$3:$P$537,0),MATCH(DB$2,'NM O&amp;G Production'!$K$2:$O$2,0))</f>
        <v>0</v>
      </c>
      <c r="DC512" s="127"/>
      <c r="DD512" s="127">
        <f>INDEX('NM O&amp;G Production'!$K$3:$O$537,MATCH($CY512,'NM O&amp;G Production'!$P$3:$P$537,0),MATCH(DD$2,'NM O&amp;G Production'!$K$2:$O$2,0))</f>
        <v>0</v>
      </c>
      <c r="DE512" s="127">
        <f>INDEX('NM O&amp;G Production'!$K$3:$O$537,MATCH($CY512,'NM O&amp;G Production'!$P$3:$P$537,0),MATCH(DE$2,'NM O&amp;G Production'!$K$2:$O$2,0))</f>
        <v>0</v>
      </c>
      <c r="DF512" s="258" t="e">
        <f>CK512/(DB512+DA512)</f>
        <v>#DIV/0!</v>
      </c>
      <c r="DG512" s="57">
        <f>DD512*(12/18)*1.06*'Oil and Gas Prices'!$C$18</f>
        <v>0</v>
      </c>
      <c r="DH512" s="284">
        <f>DE512*(12/18)*'Oil and Gas Prices'!$C$4</f>
        <v>0</v>
      </c>
      <c r="DI512" s="284"/>
      <c r="DJ512" s="57" t="e">
        <f>(DG512+DH512)/(DA512+DB512)</f>
        <v>#DIV/0!</v>
      </c>
      <c r="DK512" s="18" t="e">
        <f>CK512/DI512</f>
        <v>#DIV/0!</v>
      </c>
    </row>
    <row r="513" spans="1:115" x14ac:dyDescent="0.25">
      <c r="A513" t="s">
        <v>1870</v>
      </c>
      <c r="B513" t="s">
        <v>1871</v>
      </c>
      <c r="D513" t="s">
        <v>593</v>
      </c>
      <c r="E513" t="s">
        <v>84</v>
      </c>
      <c r="F513">
        <v>87410</v>
      </c>
      <c r="G513" t="s">
        <v>62</v>
      </c>
      <c r="I513">
        <v>258</v>
      </c>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c r="CL513"/>
      <c r="CM513" s="21"/>
      <c r="CN513" s="61">
        <f>IF($BH513="",1,COUNTIF($BH$3:$BH513,$BH513))</f>
        <v>1</v>
      </c>
      <c r="CP513" t="str">
        <f>IF($K513="Standard Match","Match",IF($K513="Name Only Match",IF($CO513="Yes","Match","Name Only Match"),"No Match"))</f>
        <v>No Match</v>
      </c>
      <c r="CQ513" s="35" t="str">
        <f>IF(AND(CP513="Match",CK513&gt;0,CL513&gt;0),"Y","N")</f>
        <v>N</v>
      </c>
      <c r="CS513" t="str">
        <f>IF($CQ513="Y",VLOOKUP($CM513,'SBA Size Standards'!$B$3:$G$57,MATCH('SBA Size Standards'!$G$3,'SBA Size Standards'!$B$3:$G$3,0),FALSE),"")</f>
        <v/>
      </c>
      <c r="CT513" s="60" t="str">
        <f>IF(CQ513="Y",IF($CS513="Employment","N/A",VLOOKUP($CM513,'SBA Size Standards'!$B$3:$G$57,MATCH('SBA Size Standards'!$E$3,'SBA Size Standards'!$B$3:$G$3,0),FALSE)),"")</f>
        <v/>
      </c>
      <c r="CU513" s="86" t="str">
        <f>IF($CQ513="Y",IF($CS513="Revenue","N/A",VLOOKUP($CM513,'SBA Size Standards'!$B$3:$G$57,MATCH('SBA Size Standards'!$F$3,'SBA Size Standards'!$B$3:$G$3,0),FALSE)),"")</f>
        <v/>
      </c>
      <c r="CV513" t="str">
        <f>IF($CQ513="Y",IF(OR(AND($CS513="Employment",$CL513&lt;$CU513),AND($CS513="Revenue",$CK513&lt;$CT513)),"YES","NO"),"")</f>
        <v/>
      </c>
      <c r="CW513" s="90" t="str">
        <f>IF($CQ513="Y",INDEX('SBA Size Standards'!$N$3:$N$12,MATCH($CK513,'SBA Size Standards'!$O$3:$O$12,1)),"")</f>
        <v/>
      </c>
      <c r="CX513" s="122" t="s">
        <v>5031</v>
      </c>
      <c r="CY513" s="122">
        <f>INDEX('NM O&amp;G Production'!$P$3:$P$537,MATCH(CX513,'NM O&amp;G Production'!$Q$3:$Q$537,0))</f>
        <v>258</v>
      </c>
      <c r="CZ513" s="122" t="str">
        <f>INDEX('NM O&amp;G Production'!$O$3:$O$537,MATCH(CY513,'NM O&amp;G Production'!$P$3:$P$537,0))</f>
        <v>Yes</v>
      </c>
      <c r="DA513" s="127">
        <f>INDEX('NM O&amp;G Production'!$K$3:$O$537,MATCH($CY513,'NM O&amp;G Production'!$P$3:$P$537,0),MATCH(DA$2,'NM O&amp;G Production'!$K$2:$O$2,0))</f>
        <v>2</v>
      </c>
      <c r="DB513" s="127">
        <f>INDEX('NM O&amp;G Production'!$K$3:$O$537,MATCH($CY513,'NM O&amp;G Production'!$P$3:$P$537,0),MATCH(DB$2,'NM O&amp;G Production'!$K$2:$O$2,0))</f>
        <v>1</v>
      </c>
      <c r="DC513" s="127"/>
      <c r="DD513" s="127">
        <f>INDEX('NM O&amp;G Production'!$K$3:$O$537,MATCH($CY513,'NM O&amp;G Production'!$P$3:$P$537,0),MATCH(DD$2,'NM O&amp;G Production'!$K$2:$O$2,0))</f>
        <v>3895</v>
      </c>
      <c r="DE513" s="127">
        <f>INDEX('NM O&amp;G Production'!$K$3:$O$537,MATCH($CY513,'NM O&amp;G Production'!$P$3:$P$537,0),MATCH(DE$2,'NM O&amp;G Production'!$K$2:$O$2,0))</f>
        <v>0</v>
      </c>
      <c r="DF513" s="258">
        <f>CK513/(DB513+DA513)</f>
        <v>0</v>
      </c>
      <c r="DG513" s="57">
        <f>DD513*(12/18)*1.06*'Oil and Gas Prices'!$C$18</f>
        <v>6578.3953333333338</v>
      </c>
      <c r="DH513" s="284">
        <f>DE513*(12/18)*'Oil and Gas Prices'!$C$4</f>
        <v>0</v>
      </c>
      <c r="DI513" s="284">
        <f>DG513+DH513</f>
        <v>6578.3953333333338</v>
      </c>
      <c r="DJ513" s="57">
        <f>(DG513+DH513)/(DA513+DB513)</f>
        <v>2192.7984444444446</v>
      </c>
      <c r="DK513" s="18">
        <f>CK513/DI513</f>
        <v>0</v>
      </c>
    </row>
    <row r="514" spans="1:115" x14ac:dyDescent="0.25">
      <c r="A514" s="27" t="s">
        <v>2086</v>
      </c>
      <c r="B514" t="s">
        <v>2087</v>
      </c>
      <c r="D514" t="s">
        <v>378</v>
      </c>
      <c r="E514" t="s">
        <v>80</v>
      </c>
      <c r="F514">
        <v>75240</v>
      </c>
      <c r="G514" t="s">
        <v>62</v>
      </c>
      <c r="I514">
        <v>293</v>
      </c>
      <c r="J514" t="s">
        <v>63</v>
      </c>
      <c r="K514" t="s">
        <v>4134</v>
      </c>
      <c r="L514" t="s">
        <v>3627</v>
      </c>
      <c r="M514">
        <v>8</v>
      </c>
      <c r="N514" t="s">
        <v>3669</v>
      </c>
      <c r="O514" s="21" t="s">
        <v>3670</v>
      </c>
      <c r="Q514" t="s">
        <v>3671</v>
      </c>
      <c r="R514" t="s">
        <v>3672</v>
      </c>
      <c r="S514" t="s">
        <v>94</v>
      </c>
      <c r="T514" t="s">
        <v>3673</v>
      </c>
      <c r="U514" t="s">
        <v>62</v>
      </c>
      <c r="V514">
        <v>8303932111</v>
      </c>
      <c r="W514" s="1">
        <v>36866</v>
      </c>
      <c r="X514">
        <v>2</v>
      </c>
      <c r="Y514">
        <v>2</v>
      </c>
      <c r="Z514">
        <v>2020</v>
      </c>
      <c r="AA514" t="s">
        <v>70</v>
      </c>
      <c r="AD514" t="s">
        <v>2666</v>
      </c>
      <c r="AE514">
        <v>7822</v>
      </c>
      <c r="AF514" t="s">
        <v>2667</v>
      </c>
      <c r="AI514">
        <v>78220000</v>
      </c>
      <c r="AJ514" t="s">
        <v>2668</v>
      </c>
      <c r="AM514">
        <v>512120</v>
      </c>
      <c r="AN514" t="s">
        <v>2669</v>
      </c>
      <c r="AQ514" t="s">
        <v>75</v>
      </c>
      <c r="AT514" t="s">
        <v>76</v>
      </c>
      <c r="BF514">
        <v>0</v>
      </c>
      <c r="BG514">
        <v>0</v>
      </c>
      <c r="CK514" s="282"/>
      <c r="CL514" s="282"/>
      <c r="CM514" s="282"/>
      <c r="CN514" s="283">
        <f>IF($BH514="",1,COUNTIF($BH$3:$BH514,$BH514))</f>
        <v>1</v>
      </c>
      <c r="CO514" s="21" t="s">
        <v>4385</v>
      </c>
      <c r="CP514" t="str">
        <f>IF($K514="Standard Match","Match",IF($K514="Name Only Match",IF($CO514="Yes","Match","Name Only Match"),"No Match"))</f>
        <v>Name Only Match</v>
      </c>
      <c r="CQ514" s="35" t="str">
        <f>IF(AND(CP514="Match",CK514&gt;0,CL514&gt;0),"Y","N")</f>
        <v>N</v>
      </c>
      <c r="CR514" t="s">
        <v>4395</v>
      </c>
      <c r="CS514" t="str">
        <f>IF($CQ514="Y",VLOOKUP($CM514,'SBA Size Standards'!$B$3:$G$57,MATCH('SBA Size Standards'!$G$3,'SBA Size Standards'!$B$3:$G$3,0),FALSE),"")</f>
        <v/>
      </c>
      <c r="CT514" s="60" t="str">
        <f>IF(CQ514="Y",IF($CS514="Employment","N/A",VLOOKUP($CM514,'SBA Size Standards'!$B$3:$G$57,MATCH('SBA Size Standards'!$E$3,'SBA Size Standards'!$B$3:$G$3,0),FALSE)),"")</f>
        <v/>
      </c>
      <c r="CU514" s="86" t="str">
        <f>IF($CQ514="Y",IF($CS514="Revenue","N/A",VLOOKUP($CM514,'SBA Size Standards'!$B$3:$G$57,MATCH('SBA Size Standards'!$F$3,'SBA Size Standards'!$B$3:$G$3,0),FALSE)),"")</f>
        <v/>
      </c>
      <c r="CV514" t="str">
        <f>IF($CQ514="Y",IF(OR(AND($CS514="Employment",$CL514&lt;$CU514),AND($CS514="Revenue",$CK514&lt;$CT514)),"YES","NO"),"")</f>
        <v/>
      </c>
      <c r="CW514" s="90" t="str">
        <f>IF($CQ514="Y",INDEX('SBA Size Standards'!$N$3:$N$12,MATCH($CK514,'SBA Size Standards'!$O$3:$O$12,1)),"")</f>
        <v/>
      </c>
      <c r="CX514" s="122" t="s">
        <v>4976</v>
      </c>
      <c r="CY514" s="122">
        <f>INDEX('NM O&amp;G Production'!$P$3:$P$537,MATCH(CX514,'NM O&amp;G Production'!$Q$3:$Q$537,0))</f>
        <v>293</v>
      </c>
      <c r="CZ514" s="122" t="str">
        <f>INDEX('NM O&amp;G Production'!$O$3:$O$537,MATCH(CY514,'NM O&amp;G Production'!$P$3:$P$537,0))</f>
        <v>Yes</v>
      </c>
      <c r="DA514" s="127">
        <f>INDEX('NM O&amp;G Production'!$K$3:$O$537,MATCH($CY514,'NM O&amp;G Production'!$P$3:$P$537,0),MATCH(DA$2,'NM O&amp;G Production'!$K$2:$O$2,0))</f>
        <v>251</v>
      </c>
      <c r="DB514" s="127">
        <f>INDEX('NM O&amp;G Production'!$K$3:$O$537,MATCH($CY514,'NM O&amp;G Production'!$P$3:$P$537,0),MATCH(DB$2,'NM O&amp;G Production'!$K$2:$O$2,0))</f>
        <v>148</v>
      </c>
      <c r="DC514" s="127"/>
      <c r="DD514" s="127">
        <f>INDEX('NM O&amp;G Production'!$K$3:$O$537,MATCH($CY514,'NM O&amp;G Production'!$P$3:$P$537,0),MATCH(DD$2,'NM O&amp;G Production'!$K$2:$O$2,0))</f>
        <v>62799624</v>
      </c>
      <c r="DE514" s="127">
        <f>INDEX('NM O&amp;G Production'!$K$3:$O$537,MATCH($CY514,'NM O&amp;G Production'!$P$3:$P$537,0),MATCH(DE$2,'NM O&amp;G Production'!$K$2:$O$2,0))</f>
        <v>16312313</v>
      </c>
      <c r="DF514" s="258">
        <f>CK514/(DB514+DA514)</f>
        <v>0</v>
      </c>
      <c r="DG514" s="57">
        <f>DD514*(12/18)*1.06*'Oil and Gas Prices'!$C$18</f>
        <v>106064378.29440001</v>
      </c>
      <c r="DH514" s="284">
        <f>DE514*(12/18)*'Oil and Gas Prices'!$C$4</f>
        <v>489369389.99999994</v>
      </c>
      <c r="DI514" s="284">
        <f>DG514+DH514</f>
        <v>595433768.29439998</v>
      </c>
      <c r="DJ514" s="57">
        <f>(DG514+DH514)/(DA514+DB514)</f>
        <v>1492315.2087578946</v>
      </c>
      <c r="DK514" s="18">
        <f>CK514/DI514</f>
        <v>0</v>
      </c>
    </row>
    <row r="515" spans="1:115" x14ac:dyDescent="0.25">
      <c r="A515" s="27" t="s">
        <v>1098</v>
      </c>
      <c r="B515" t="s">
        <v>1099</v>
      </c>
      <c r="D515" t="s">
        <v>1100</v>
      </c>
      <c r="E515" t="s">
        <v>80</v>
      </c>
      <c r="F515">
        <v>79424</v>
      </c>
      <c r="G515" t="s">
        <v>62</v>
      </c>
      <c r="I515">
        <v>144</v>
      </c>
      <c r="J515" t="s">
        <v>63</v>
      </c>
      <c r="K515" t="s">
        <v>4134</v>
      </c>
      <c r="L515" t="s">
        <v>3627</v>
      </c>
      <c r="M515">
        <v>8</v>
      </c>
      <c r="N515" t="s">
        <v>3838</v>
      </c>
      <c r="O515" s="21" t="s">
        <v>3839</v>
      </c>
      <c r="Q515" t="s">
        <v>3840</v>
      </c>
      <c r="R515" t="s">
        <v>3841</v>
      </c>
      <c r="S515" t="s">
        <v>3842</v>
      </c>
      <c r="T515" t="s">
        <v>3843</v>
      </c>
      <c r="U515" t="s">
        <v>62</v>
      </c>
      <c r="V515">
        <v>7174362400</v>
      </c>
      <c r="W515" s="1">
        <v>9613971</v>
      </c>
      <c r="X515">
        <v>16</v>
      </c>
      <c r="Y515">
        <v>82</v>
      </c>
      <c r="Z515">
        <v>2011</v>
      </c>
      <c r="AA515" t="s">
        <v>163</v>
      </c>
      <c r="AB515" t="s">
        <v>3844</v>
      </c>
      <c r="AC515" t="s">
        <v>98</v>
      </c>
      <c r="AD515" t="s">
        <v>3845</v>
      </c>
      <c r="AE515">
        <v>2493</v>
      </c>
      <c r="AF515" t="s">
        <v>3846</v>
      </c>
      <c r="AI515">
        <v>24930000</v>
      </c>
      <c r="AJ515" t="s">
        <v>3845</v>
      </c>
      <c r="AM515">
        <v>321219</v>
      </c>
      <c r="AN515" t="s">
        <v>3847</v>
      </c>
      <c r="AQ515" t="s">
        <v>75</v>
      </c>
      <c r="AR515" t="s">
        <v>3838</v>
      </c>
      <c r="AS515" t="s">
        <v>3839</v>
      </c>
      <c r="AT515" t="s">
        <v>427</v>
      </c>
      <c r="AU515" t="s">
        <v>1690</v>
      </c>
      <c r="AV515" t="s">
        <v>62</v>
      </c>
      <c r="AW515" t="s">
        <v>3838</v>
      </c>
      <c r="AX515" t="s">
        <v>3839</v>
      </c>
      <c r="AY515" t="s">
        <v>1690</v>
      </c>
      <c r="AZ515" t="s">
        <v>62</v>
      </c>
      <c r="BE515" t="s">
        <v>62</v>
      </c>
      <c r="BF515">
        <v>1</v>
      </c>
      <c r="BG515">
        <v>2</v>
      </c>
      <c r="BH515" s="4" t="s">
        <v>3838</v>
      </c>
      <c r="BI515" s="4" t="s">
        <v>3839</v>
      </c>
      <c r="BK515" s="4" t="s">
        <v>3840</v>
      </c>
      <c r="BL515" s="4" t="s">
        <v>3841</v>
      </c>
      <c r="BM515" s="4" t="s">
        <v>3842</v>
      </c>
      <c r="BN515" s="4" t="s">
        <v>3843</v>
      </c>
      <c r="BO515" s="4" t="s">
        <v>62</v>
      </c>
      <c r="BP515" s="4">
        <v>7174362400</v>
      </c>
      <c r="BQ515" s="5">
        <v>9613971</v>
      </c>
      <c r="BR515" s="4">
        <v>16</v>
      </c>
      <c r="BS515" s="4">
        <v>82</v>
      </c>
      <c r="BT515" s="4">
        <v>2011</v>
      </c>
      <c r="BU515" s="4" t="s">
        <v>163</v>
      </c>
      <c r="BV515" s="4" t="s">
        <v>3844</v>
      </c>
      <c r="BW515" s="4" t="s">
        <v>98</v>
      </c>
      <c r="BX515" s="4" t="s">
        <v>3845</v>
      </c>
      <c r="BY515" s="4">
        <v>2493</v>
      </c>
      <c r="BZ515" s="4" t="s">
        <v>3846</v>
      </c>
      <c r="CC515" s="4">
        <v>24930000</v>
      </c>
      <c r="CD515" s="4" t="s">
        <v>3845</v>
      </c>
      <c r="CG515" s="4">
        <v>321219</v>
      </c>
      <c r="CH515" s="4" t="s">
        <v>3847</v>
      </c>
      <c r="CK515"/>
      <c r="CL515"/>
      <c r="CN515" s="35">
        <f>IF($BH515="",1,COUNTIF($BH$3:$BH515,$BH515))</f>
        <v>1</v>
      </c>
      <c r="CO515" s="21" t="s">
        <v>4385</v>
      </c>
      <c r="CP515" t="str">
        <f>IF($K515="Standard Match","Match",IF($K515="Name Only Match",IF($CO515="Yes","Match","Name Only Match"),"No Match"))</f>
        <v>Name Only Match</v>
      </c>
      <c r="CQ515" s="35" t="str">
        <f>IF(AND(CP515="Match",CK515&gt;0,CL515&gt;0),"Y","N")</f>
        <v>N</v>
      </c>
      <c r="CR515" t="s">
        <v>4390</v>
      </c>
      <c r="CS515" t="str">
        <f>IF($CQ515="Y",VLOOKUP($CM515,'SBA Size Standards'!$B$3:$G$57,MATCH('SBA Size Standards'!$G$3,'SBA Size Standards'!$B$3:$G$3,0),FALSE),"")</f>
        <v/>
      </c>
      <c r="CT515" s="60" t="str">
        <f>IF(CQ515="Y",IF($CS515="Employment","N/A",VLOOKUP($CM515,'SBA Size Standards'!$B$3:$G$57,MATCH('SBA Size Standards'!$E$3,'SBA Size Standards'!$B$3:$G$3,0),FALSE)),"")</f>
        <v/>
      </c>
      <c r="CU515" s="86" t="str">
        <f>IF($CQ515="Y",IF($CS515="Revenue","N/A",VLOOKUP($CM515,'SBA Size Standards'!$B$3:$G$57,MATCH('SBA Size Standards'!$F$3,'SBA Size Standards'!$B$3:$G$3,0),FALSE)),"")</f>
        <v/>
      </c>
      <c r="CV515" t="str">
        <f>IF($CQ515="Y",IF(OR(AND($CS515="Employment",$CL515&lt;$CU515),AND($CS515="Revenue",$CK515&lt;$CT515)),"YES","NO"),"")</f>
        <v/>
      </c>
      <c r="CW515" s="90" t="str">
        <f>IF($CQ515="Y",INDEX('SBA Size Standards'!$N$3:$N$12,MATCH($CK515,'SBA Size Standards'!$O$3:$O$12,1)),"")</f>
        <v/>
      </c>
      <c r="CX515" s="122" t="s">
        <v>4955</v>
      </c>
      <c r="CY515" s="122">
        <f>INDEX('NM O&amp;G Production'!$P$3:$P$537,MATCH(CX515,'NM O&amp;G Production'!$Q$3:$Q$537,0))</f>
        <v>144</v>
      </c>
      <c r="CZ515" s="122" t="str">
        <f>INDEX('NM O&amp;G Production'!$O$3:$O$537,MATCH(CY515,'NM O&amp;G Production'!$P$3:$P$537,0))</f>
        <v>Yes</v>
      </c>
      <c r="DA515" s="127">
        <f>INDEX('NM O&amp;G Production'!$K$3:$O$537,MATCH($CY515,'NM O&amp;G Production'!$P$3:$P$537,0),MATCH(DA$2,'NM O&amp;G Production'!$K$2:$O$2,0))</f>
        <v>1</v>
      </c>
      <c r="DB515" s="127">
        <f>INDEX('NM O&amp;G Production'!$K$3:$O$537,MATCH($CY515,'NM O&amp;G Production'!$P$3:$P$537,0),MATCH(DB$2,'NM O&amp;G Production'!$K$2:$O$2,0))</f>
        <v>0</v>
      </c>
      <c r="DC515" s="127"/>
      <c r="DD515" s="127">
        <f>INDEX('NM O&amp;G Production'!$K$3:$O$537,MATCH($CY515,'NM O&amp;G Production'!$P$3:$P$537,0),MATCH(DD$2,'NM O&amp;G Production'!$K$2:$O$2,0))</f>
        <v>11791</v>
      </c>
      <c r="DE515" s="127">
        <f>INDEX('NM O&amp;G Production'!$K$3:$O$537,MATCH($CY515,'NM O&amp;G Production'!$P$3:$P$537,0),MATCH(DE$2,'NM O&amp;G Production'!$K$2:$O$2,0))</f>
        <v>10213</v>
      </c>
      <c r="DF515" s="258">
        <f>CK515/(DB515+DA515)</f>
        <v>0</v>
      </c>
      <c r="DG515" s="57">
        <f>DD515*(12/18)*1.06*'Oil and Gas Prices'!$C$18</f>
        <v>19914.212933333336</v>
      </c>
      <c r="DH515" s="284">
        <f>DE515*(12/18)*'Oil and Gas Prices'!$C$4</f>
        <v>306390</v>
      </c>
      <c r="DI515" s="284">
        <f>DG515+DH515</f>
        <v>326304.21293333336</v>
      </c>
      <c r="DJ515" s="57">
        <f>(DG515+DH515)/(DA515+DB515)</f>
        <v>326304.21293333336</v>
      </c>
      <c r="DK515" s="18">
        <f>CK515/DI515</f>
        <v>0</v>
      </c>
    </row>
    <row r="516" spans="1:115" x14ac:dyDescent="0.25">
      <c r="A516" s="27" t="s">
        <v>357</v>
      </c>
      <c r="B516" t="s">
        <v>293</v>
      </c>
      <c r="D516" t="s">
        <v>206</v>
      </c>
      <c r="E516" t="s">
        <v>84</v>
      </c>
      <c r="F516">
        <v>88240</v>
      </c>
      <c r="G516" t="s">
        <v>62</v>
      </c>
      <c r="I516">
        <v>41</v>
      </c>
      <c r="J516" t="s">
        <v>63</v>
      </c>
      <c r="K516" t="s">
        <v>4134</v>
      </c>
      <c r="L516" t="s">
        <v>3627</v>
      </c>
      <c r="M516">
        <v>8</v>
      </c>
      <c r="N516" t="s">
        <v>3768</v>
      </c>
      <c r="O516" s="21" t="s">
        <v>3769</v>
      </c>
      <c r="Q516" t="s">
        <v>3770</v>
      </c>
      <c r="R516" t="s">
        <v>3771</v>
      </c>
      <c r="S516" t="s">
        <v>3772</v>
      </c>
      <c r="T516">
        <v>8054</v>
      </c>
      <c r="U516" t="s">
        <v>62</v>
      </c>
      <c r="V516">
        <v>2673371337</v>
      </c>
      <c r="W516" s="1">
        <v>30000</v>
      </c>
      <c r="X516">
        <v>3</v>
      </c>
      <c r="Y516">
        <v>4</v>
      </c>
      <c r="Z516">
        <v>2013</v>
      </c>
      <c r="AA516" t="s">
        <v>163</v>
      </c>
      <c r="AB516" t="s">
        <v>3773</v>
      </c>
      <c r="AC516" t="s">
        <v>145</v>
      </c>
      <c r="AD516" t="s">
        <v>494</v>
      </c>
      <c r="AE516">
        <v>8741</v>
      </c>
      <c r="AF516" t="s">
        <v>495</v>
      </c>
      <c r="AG516">
        <v>8712</v>
      </c>
      <c r="AH516" t="s">
        <v>3774</v>
      </c>
      <c r="AI516">
        <v>87419902</v>
      </c>
      <c r="AJ516" t="s">
        <v>3775</v>
      </c>
      <c r="AK516">
        <v>87120101</v>
      </c>
      <c r="AL516" t="s">
        <v>3776</v>
      </c>
      <c r="AM516">
        <v>561110</v>
      </c>
      <c r="AN516" t="s">
        <v>497</v>
      </c>
      <c r="AO516">
        <v>541310</v>
      </c>
      <c r="AP516" t="s">
        <v>3774</v>
      </c>
      <c r="AQ516" t="s">
        <v>75</v>
      </c>
      <c r="AR516" t="s">
        <v>3768</v>
      </c>
      <c r="AS516" t="s">
        <v>3769</v>
      </c>
      <c r="AT516" t="s">
        <v>427</v>
      </c>
      <c r="AU516" t="s">
        <v>3777</v>
      </c>
      <c r="AV516" t="s">
        <v>62</v>
      </c>
      <c r="AW516" t="s">
        <v>3768</v>
      </c>
      <c r="AX516" t="s">
        <v>3769</v>
      </c>
      <c r="AY516" t="s">
        <v>3777</v>
      </c>
      <c r="AZ516" t="s">
        <v>62</v>
      </c>
      <c r="BE516" t="s">
        <v>62</v>
      </c>
      <c r="BF516">
        <v>1</v>
      </c>
      <c r="BG516">
        <v>2</v>
      </c>
      <c r="BH516" s="4" t="s">
        <v>3768</v>
      </c>
      <c r="BI516" s="4" t="s">
        <v>3769</v>
      </c>
      <c r="BK516" s="4" t="s">
        <v>3770</v>
      </c>
      <c r="BL516" s="4" t="s">
        <v>3771</v>
      </c>
      <c r="BM516" s="4" t="s">
        <v>3772</v>
      </c>
      <c r="BN516" s="4">
        <v>8054</v>
      </c>
      <c r="BO516" s="4" t="s">
        <v>62</v>
      </c>
      <c r="BP516" s="4">
        <v>2673371337</v>
      </c>
      <c r="BQ516" s="5">
        <v>30000</v>
      </c>
      <c r="BR516" s="4">
        <v>3</v>
      </c>
      <c r="BS516" s="4">
        <v>4</v>
      </c>
      <c r="BT516" s="4">
        <v>2013</v>
      </c>
      <c r="BU516" s="4" t="s">
        <v>163</v>
      </c>
      <c r="BV516" s="4" t="s">
        <v>3773</v>
      </c>
      <c r="BW516" s="4" t="s">
        <v>145</v>
      </c>
      <c r="BX516" s="4" t="s">
        <v>494</v>
      </c>
      <c r="BY516" s="4">
        <v>8741</v>
      </c>
      <c r="BZ516" s="4" t="s">
        <v>495</v>
      </c>
      <c r="CA516" s="4">
        <v>8712</v>
      </c>
      <c r="CB516" s="4" t="s">
        <v>3774</v>
      </c>
      <c r="CC516" s="4">
        <v>87419902</v>
      </c>
      <c r="CD516" s="4" t="s">
        <v>3775</v>
      </c>
      <c r="CE516" s="4">
        <v>87120101</v>
      </c>
      <c r="CF516" s="4" t="s">
        <v>3776</v>
      </c>
      <c r="CG516" s="4">
        <v>561110</v>
      </c>
      <c r="CH516" s="4" t="s">
        <v>497</v>
      </c>
      <c r="CI516" s="4">
        <v>541310</v>
      </c>
      <c r="CJ516" s="4" t="s">
        <v>3774</v>
      </c>
      <c r="CK516"/>
      <c r="CL516"/>
      <c r="CN516" s="35">
        <f>IF($BH516="",1,COUNTIF($BH$3:$BH516,$BH516))</f>
        <v>1</v>
      </c>
      <c r="CO516" t="s">
        <v>4385</v>
      </c>
      <c r="CP516" t="str">
        <f>IF($K516="Standard Match","Match",IF($K516="Name Only Match",IF($CO516="Yes","Match","Name Only Match"),"No Match"))</f>
        <v>Name Only Match</v>
      </c>
      <c r="CQ516" s="35" t="str">
        <f>IF(AND(CP516="Match",CK516&gt;0,CL516&gt;0),"Y","N")</f>
        <v>N</v>
      </c>
      <c r="CR516" s="21" t="s">
        <v>4383</v>
      </c>
      <c r="CS516" t="str">
        <f>IF($CQ516="Y",VLOOKUP($CM516,'SBA Size Standards'!$B$3:$G$57,MATCH('SBA Size Standards'!$G$3,'SBA Size Standards'!$B$3:$G$3,0),FALSE),"")</f>
        <v/>
      </c>
      <c r="CT516" s="60" t="str">
        <f>IF(CQ516="Y",IF($CS516="Employment","N/A",VLOOKUP($CM516,'SBA Size Standards'!$B$3:$G$57,MATCH('SBA Size Standards'!$E$3,'SBA Size Standards'!$B$3:$G$3,0),FALSE)),"")</f>
        <v/>
      </c>
      <c r="CU516" s="86" t="str">
        <f>IF($CQ516="Y",IF($CS516="Revenue","N/A",VLOOKUP($CM516,'SBA Size Standards'!$B$3:$G$57,MATCH('SBA Size Standards'!$F$3,'SBA Size Standards'!$B$3:$G$3,0),FALSE)),"")</f>
        <v/>
      </c>
      <c r="CV516" t="str">
        <f>IF($CQ516="Y",IF(OR(AND($CS516="Employment",$CL516&lt;$CU516),AND($CS516="Revenue",$CK516&lt;$CT516)),"YES","NO"),"")</f>
        <v/>
      </c>
      <c r="CW516" s="90" t="str">
        <f>IF($CQ516="Y",INDEX('SBA Size Standards'!$N$3:$N$12,MATCH($CK516,'SBA Size Standards'!$O$3:$O$12,1)),"")</f>
        <v/>
      </c>
      <c r="CX516" s="122" t="s">
        <v>4937</v>
      </c>
      <c r="CY516" s="122">
        <f>INDEX('NM O&amp;G Production'!$P$3:$P$537,MATCH(CX516,'NM O&amp;G Production'!$Q$3:$Q$537,0))</f>
        <v>41</v>
      </c>
      <c r="CZ516" s="122" t="str">
        <f>INDEX('NM O&amp;G Production'!$O$3:$O$537,MATCH(CY516,'NM O&amp;G Production'!$P$3:$P$537,0))</f>
        <v>Yes</v>
      </c>
      <c r="DA516" s="127">
        <f>INDEX('NM O&amp;G Production'!$K$3:$O$537,MATCH($CY516,'NM O&amp;G Production'!$P$3:$P$537,0),MATCH(DA$2,'NM O&amp;G Production'!$K$2:$O$2,0))</f>
        <v>0</v>
      </c>
      <c r="DB516" s="127">
        <f>INDEX('NM O&amp;G Production'!$K$3:$O$537,MATCH($CY516,'NM O&amp;G Production'!$P$3:$P$537,0),MATCH(DB$2,'NM O&amp;G Production'!$K$2:$O$2,0))</f>
        <v>1</v>
      </c>
      <c r="DC516" s="127"/>
      <c r="DD516" s="127">
        <f>INDEX('NM O&amp;G Production'!$K$3:$O$537,MATCH($CY516,'NM O&amp;G Production'!$P$3:$P$537,0),MATCH(DD$2,'NM O&amp;G Production'!$K$2:$O$2,0))</f>
        <v>0</v>
      </c>
      <c r="DE516" s="127">
        <f>INDEX('NM O&amp;G Production'!$K$3:$O$537,MATCH($CY516,'NM O&amp;G Production'!$P$3:$P$537,0),MATCH(DE$2,'NM O&amp;G Production'!$K$2:$O$2,0))</f>
        <v>4808</v>
      </c>
      <c r="DF516" s="258">
        <f>CK516/(DB516+DA516)</f>
        <v>0</v>
      </c>
      <c r="DG516" s="57">
        <f>DD516*(12/18)*1.06*'Oil and Gas Prices'!$C$18</f>
        <v>0</v>
      </c>
      <c r="DH516" s="284">
        <f>DE516*(12/18)*'Oil and Gas Prices'!$C$4</f>
        <v>144240</v>
      </c>
      <c r="DI516" s="284">
        <f>DG516+DH516</f>
        <v>144240</v>
      </c>
      <c r="DJ516" s="57">
        <f>(DG516+DH516)/(DA516+DB516)</f>
        <v>144240</v>
      </c>
      <c r="DK516" s="18">
        <f>CK516/DI516</f>
        <v>0</v>
      </c>
    </row>
    <row r="517" spans="1:115" x14ac:dyDescent="0.25">
      <c r="A517" s="27" t="s">
        <v>959</v>
      </c>
      <c r="B517" t="s">
        <v>960</v>
      </c>
      <c r="C517" t="s">
        <v>961</v>
      </c>
      <c r="D517" t="s">
        <v>962</v>
      </c>
      <c r="E517" t="s">
        <v>84</v>
      </c>
      <c r="F517">
        <v>88267</v>
      </c>
      <c r="G517" t="s">
        <v>62</v>
      </c>
      <c r="I517">
        <v>124</v>
      </c>
      <c r="J517" t="s">
        <v>63</v>
      </c>
      <c r="K517" t="s">
        <v>4134</v>
      </c>
      <c r="L517" t="s">
        <v>3627</v>
      </c>
      <c r="M517">
        <v>8</v>
      </c>
      <c r="N517" t="s">
        <v>3821</v>
      </c>
      <c r="O517" s="21" t="s">
        <v>3822</v>
      </c>
      <c r="Q517" t="s">
        <v>3823</v>
      </c>
      <c r="R517" t="s">
        <v>3824</v>
      </c>
      <c r="S517" t="s">
        <v>977</v>
      </c>
      <c r="T517" t="s">
        <v>3825</v>
      </c>
      <c r="U517" t="s">
        <v>62</v>
      </c>
      <c r="V517">
        <v>3522781459</v>
      </c>
      <c r="W517" s="1">
        <v>204632</v>
      </c>
      <c r="X517">
        <v>2</v>
      </c>
      <c r="Y517">
        <v>2</v>
      </c>
      <c r="Z517">
        <v>2010</v>
      </c>
      <c r="AA517" t="s">
        <v>70</v>
      </c>
      <c r="AB517" t="s">
        <v>3826</v>
      </c>
      <c r="AC517" t="s">
        <v>145</v>
      </c>
      <c r="AD517" t="s">
        <v>352</v>
      </c>
      <c r="AE517">
        <v>6531</v>
      </c>
      <c r="AF517" t="s">
        <v>353</v>
      </c>
      <c r="AI517">
        <v>65310105</v>
      </c>
      <c r="AJ517" t="s">
        <v>3827</v>
      </c>
      <c r="AM517">
        <v>531210</v>
      </c>
      <c r="AN517" t="s">
        <v>354</v>
      </c>
      <c r="AQ517" t="s">
        <v>75</v>
      </c>
      <c r="AT517" t="s">
        <v>76</v>
      </c>
      <c r="BF517">
        <v>0</v>
      </c>
      <c r="BG517">
        <v>0</v>
      </c>
      <c r="CK517"/>
      <c r="CL517"/>
      <c r="CN517" s="35">
        <f>IF($BH517="",1,COUNTIF($BH$3:$BH517,$BH517))</f>
        <v>1</v>
      </c>
      <c r="CO517" s="21" t="s">
        <v>4385</v>
      </c>
      <c r="CP517" t="str">
        <f>IF($K517="Standard Match","Match",IF($K517="Name Only Match",IF($CO517="Yes","Match","Name Only Match"),"No Match"))</f>
        <v>Name Only Match</v>
      </c>
      <c r="CQ517" s="35" t="str">
        <f>IF(AND(CP517="Match",CK517&gt;0,CL517&gt;0),"Y","N")</f>
        <v>N</v>
      </c>
      <c r="CR517" t="s">
        <v>4389</v>
      </c>
      <c r="CS517" t="str">
        <f>IF($CQ517="Y",VLOOKUP($CM517,'SBA Size Standards'!$B$3:$G$57,MATCH('SBA Size Standards'!$G$3,'SBA Size Standards'!$B$3:$G$3,0),FALSE),"")</f>
        <v/>
      </c>
      <c r="CT517" s="60" t="str">
        <f>IF(CQ517="Y",IF($CS517="Employment","N/A",VLOOKUP($CM517,'SBA Size Standards'!$B$3:$G$57,MATCH('SBA Size Standards'!$E$3,'SBA Size Standards'!$B$3:$G$3,0),FALSE)),"")</f>
        <v/>
      </c>
      <c r="CU517" s="86" t="str">
        <f>IF($CQ517="Y",IF($CS517="Revenue","N/A",VLOOKUP($CM517,'SBA Size Standards'!$B$3:$G$57,MATCH('SBA Size Standards'!$F$3,'SBA Size Standards'!$B$3:$G$3,0),FALSE)),"")</f>
        <v/>
      </c>
      <c r="CV517" t="str">
        <f>IF($CQ517="Y",IF(OR(AND($CS517="Employment",$CL517&lt;$CU517),AND($CS517="Revenue",$CK517&lt;$CT517)),"YES","NO"),"")</f>
        <v/>
      </c>
      <c r="CW517" s="90" t="str">
        <f>IF($CQ517="Y",INDEX('SBA Size Standards'!$N$3:$N$12,MATCH($CK517,'SBA Size Standards'!$O$3:$O$12,1)),"")</f>
        <v/>
      </c>
      <c r="CX517" s="122" t="s">
        <v>4952</v>
      </c>
      <c r="CY517" s="122">
        <f>INDEX('NM O&amp;G Production'!$P$3:$P$537,MATCH(CX517,'NM O&amp;G Production'!$Q$3:$Q$537,0))</f>
        <v>124</v>
      </c>
      <c r="CZ517" s="122" t="str">
        <f>INDEX('NM O&amp;G Production'!$O$3:$O$537,MATCH(CY517,'NM O&amp;G Production'!$P$3:$P$537,0))</f>
        <v>Yes</v>
      </c>
      <c r="DA517" s="127">
        <f>INDEX('NM O&amp;G Production'!$K$3:$O$537,MATCH($CY517,'NM O&amp;G Production'!$P$3:$P$537,0),MATCH(DA$2,'NM O&amp;G Production'!$K$2:$O$2,0))</f>
        <v>0</v>
      </c>
      <c r="DB517" s="127">
        <f>INDEX('NM O&amp;G Production'!$K$3:$O$537,MATCH($CY517,'NM O&amp;G Production'!$P$3:$P$537,0),MATCH(DB$2,'NM O&amp;G Production'!$K$2:$O$2,0))</f>
        <v>2</v>
      </c>
      <c r="DC517" s="127"/>
      <c r="DD517" s="127">
        <f>INDEX('NM O&amp;G Production'!$K$3:$O$537,MATCH($CY517,'NM O&amp;G Production'!$P$3:$P$537,0),MATCH(DD$2,'NM O&amp;G Production'!$K$2:$O$2,0))</f>
        <v>0</v>
      </c>
      <c r="DE517" s="127">
        <f>INDEX('NM O&amp;G Production'!$K$3:$O$537,MATCH($CY517,'NM O&amp;G Production'!$P$3:$P$537,0),MATCH(DE$2,'NM O&amp;G Production'!$K$2:$O$2,0))</f>
        <v>5432</v>
      </c>
      <c r="DF517" s="258">
        <f>CK517/(DB517+DA517)</f>
        <v>0</v>
      </c>
      <c r="DG517" s="57">
        <f>DD517*(12/18)*1.06*'Oil and Gas Prices'!$C$18</f>
        <v>0</v>
      </c>
      <c r="DH517" s="284">
        <f>DE517*(12/18)*'Oil and Gas Prices'!$C$4</f>
        <v>162960</v>
      </c>
      <c r="DI517" s="284">
        <f>DG517+DH517</f>
        <v>162960</v>
      </c>
      <c r="DJ517" s="57">
        <f>(DG517+DH517)/(DA517+DB517)</f>
        <v>81480</v>
      </c>
      <c r="DK517" s="18">
        <f>CK517/DI517</f>
        <v>0</v>
      </c>
    </row>
    <row r="518" spans="1:115" x14ac:dyDescent="0.25">
      <c r="A518" s="27" t="s">
        <v>1263</v>
      </c>
      <c r="B518" t="s">
        <v>1264</v>
      </c>
      <c r="D518" t="s">
        <v>1265</v>
      </c>
      <c r="E518" t="s">
        <v>84</v>
      </c>
      <c r="F518">
        <v>88260</v>
      </c>
      <c r="G518" t="s">
        <v>62</v>
      </c>
      <c r="I518">
        <v>165</v>
      </c>
      <c r="J518" t="s">
        <v>63</v>
      </c>
      <c r="K518" t="s">
        <v>4134</v>
      </c>
      <c r="L518" t="s">
        <v>3627</v>
      </c>
      <c r="M518">
        <v>8</v>
      </c>
      <c r="N518" t="s">
        <v>3848</v>
      </c>
      <c r="O518" s="21" t="s">
        <v>3849</v>
      </c>
      <c r="Q518" t="s">
        <v>3850</v>
      </c>
      <c r="R518" t="s">
        <v>3851</v>
      </c>
      <c r="S518" t="s">
        <v>390</v>
      </c>
      <c r="T518" t="s">
        <v>3852</v>
      </c>
      <c r="U518" t="s">
        <v>62</v>
      </c>
      <c r="V518">
        <v>7732272525</v>
      </c>
      <c r="W518" s="1">
        <v>1145756</v>
      </c>
      <c r="X518">
        <v>5</v>
      </c>
      <c r="Y518">
        <v>6</v>
      </c>
      <c r="Z518">
        <v>2017</v>
      </c>
      <c r="AA518" t="s">
        <v>163</v>
      </c>
      <c r="AB518" t="s">
        <v>3853</v>
      </c>
      <c r="AC518" t="s">
        <v>98</v>
      </c>
      <c r="AD518" t="s">
        <v>3854</v>
      </c>
      <c r="AE518">
        <v>2064</v>
      </c>
      <c r="AF518" t="s">
        <v>3855</v>
      </c>
      <c r="AI518">
        <v>20640000</v>
      </c>
      <c r="AJ518" t="s">
        <v>3854</v>
      </c>
      <c r="AM518">
        <v>311340</v>
      </c>
      <c r="AN518" t="s">
        <v>3856</v>
      </c>
      <c r="AQ518" t="s">
        <v>75</v>
      </c>
      <c r="AR518" t="s">
        <v>3848</v>
      </c>
      <c r="AS518" t="s">
        <v>3849</v>
      </c>
      <c r="AT518" t="s">
        <v>427</v>
      </c>
      <c r="AU518" t="s">
        <v>262</v>
      </c>
      <c r="AV518" t="s">
        <v>62</v>
      </c>
      <c r="AW518" t="s">
        <v>3848</v>
      </c>
      <c r="AX518" t="s">
        <v>3849</v>
      </c>
      <c r="AY518" t="s">
        <v>262</v>
      </c>
      <c r="AZ518" t="s">
        <v>62</v>
      </c>
      <c r="BE518" t="s">
        <v>62</v>
      </c>
      <c r="BF518">
        <v>1</v>
      </c>
      <c r="BG518">
        <v>2</v>
      </c>
      <c r="BH518" s="4" t="s">
        <v>3848</v>
      </c>
      <c r="BI518" s="4" t="s">
        <v>3849</v>
      </c>
      <c r="BK518" s="4" t="s">
        <v>3850</v>
      </c>
      <c r="BL518" s="4" t="s">
        <v>3851</v>
      </c>
      <c r="BM518" s="4" t="s">
        <v>390</v>
      </c>
      <c r="BN518" s="4" t="s">
        <v>3852</v>
      </c>
      <c r="BO518" s="4" t="s">
        <v>62</v>
      </c>
      <c r="BP518" s="4">
        <v>7732272525</v>
      </c>
      <c r="BQ518" s="5">
        <v>1145756</v>
      </c>
      <c r="BR518" s="4">
        <v>5</v>
      </c>
      <c r="BS518" s="4">
        <v>6</v>
      </c>
      <c r="BT518" s="4">
        <v>2017</v>
      </c>
      <c r="BU518" s="4" t="s">
        <v>163</v>
      </c>
      <c r="BV518" s="4" t="s">
        <v>3853</v>
      </c>
      <c r="BW518" s="4" t="s">
        <v>98</v>
      </c>
      <c r="BX518" s="4" t="s">
        <v>3854</v>
      </c>
      <c r="BY518" s="4">
        <v>2064</v>
      </c>
      <c r="BZ518" s="4" t="s">
        <v>3855</v>
      </c>
      <c r="CC518" s="4">
        <v>20640000</v>
      </c>
      <c r="CD518" s="4" t="s">
        <v>3854</v>
      </c>
      <c r="CG518" s="4">
        <v>311340</v>
      </c>
      <c r="CH518" s="4" t="s">
        <v>3856</v>
      </c>
      <c r="CK518"/>
      <c r="CL518"/>
      <c r="CN518" s="35">
        <f>IF($BH518="",1,COUNTIF($BH$3:$BH518,$BH518))</f>
        <v>1</v>
      </c>
      <c r="CO518" s="21" t="s">
        <v>4385</v>
      </c>
      <c r="CP518" t="str">
        <f>IF($K518="Standard Match","Match",IF($K518="Name Only Match",IF($CO518="Yes","Match","Name Only Match"),"No Match"))</f>
        <v>Name Only Match</v>
      </c>
      <c r="CQ518" s="35" t="str">
        <f>IF(AND(CP518="Match",CK518&gt;0,CL518&gt;0),"Y","N")</f>
        <v>N</v>
      </c>
      <c r="CR518" t="s">
        <v>4391</v>
      </c>
      <c r="CS518" t="str">
        <f>IF($CQ518="Y",VLOOKUP($CM518,'SBA Size Standards'!$B$3:$G$57,MATCH('SBA Size Standards'!$G$3,'SBA Size Standards'!$B$3:$G$3,0),FALSE),"")</f>
        <v/>
      </c>
      <c r="CT518" s="60" t="str">
        <f>IF(CQ518="Y",IF($CS518="Employment","N/A",VLOOKUP($CM518,'SBA Size Standards'!$B$3:$G$57,MATCH('SBA Size Standards'!$E$3,'SBA Size Standards'!$B$3:$G$3,0),FALSE)),"")</f>
        <v/>
      </c>
      <c r="CU518" s="86" t="str">
        <f>IF($CQ518="Y",IF($CS518="Revenue","N/A",VLOOKUP($CM518,'SBA Size Standards'!$B$3:$G$57,MATCH('SBA Size Standards'!$F$3,'SBA Size Standards'!$B$3:$G$3,0),FALSE)),"")</f>
        <v/>
      </c>
      <c r="CV518" t="str">
        <f>IF($CQ518="Y",IF(OR(AND($CS518="Employment",$CL518&lt;$CU518),AND($CS518="Revenue",$CK518&lt;$CT518)),"YES","NO"),"")</f>
        <v/>
      </c>
      <c r="CW518" s="90" t="str">
        <f>IF($CQ518="Y",INDEX('SBA Size Standards'!$N$3:$N$12,MATCH($CK518,'SBA Size Standards'!$O$3:$O$12,1)),"")</f>
        <v/>
      </c>
      <c r="CX518" s="122" t="s">
        <v>4957</v>
      </c>
      <c r="CY518" s="122">
        <f>INDEX('NM O&amp;G Production'!$P$3:$P$537,MATCH(CX518,'NM O&amp;G Production'!$Q$3:$Q$537,0))</f>
        <v>165</v>
      </c>
      <c r="CZ518" s="122" t="str">
        <f>INDEX('NM O&amp;G Production'!$O$3:$O$537,MATCH(CY518,'NM O&amp;G Production'!$P$3:$P$537,0))</f>
        <v>Yes</v>
      </c>
      <c r="DA518" s="127">
        <f>INDEX('NM O&amp;G Production'!$K$3:$O$537,MATCH($CY518,'NM O&amp;G Production'!$P$3:$P$537,0),MATCH(DA$2,'NM O&amp;G Production'!$K$2:$O$2,0))</f>
        <v>0</v>
      </c>
      <c r="DB518" s="127">
        <f>INDEX('NM O&amp;G Production'!$K$3:$O$537,MATCH($CY518,'NM O&amp;G Production'!$P$3:$P$537,0),MATCH(DB$2,'NM O&amp;G Production'!$K$2:$O$2,0))</f>
        <v>3</v>
      </c>
      <c r="DC518" s="127"/>
      <c r="DD518" s="127">
        <f>INDEX('NM O&amp;G Production'!$K$3:$O$537,MATCH($CY518,'NM O&amp;G Production'!$P$3:$P$537,0),MATCH(DD$2,'NM O&amp;G Production'!$K$2:$O$2,0))</f>
        <v>0</v>
      </c>
      <c r="DE518" s="127">
        <f>INDEX('NM O&amp;G Production'!$K$3:$O$537,MATCH($CY518,'NM O&amp;G Production'!$P$3:$P$537,0),MATCH(DE$2,'NM O&amp;G Production'!$K$2:$O$2,0))</f>
        <v>3818</v>
      </c>
      <c r="DF518" s="258">
        <f>CK518/(DB518+DA518)</f>
        <v>0</v>
      </c>
      <c r="DG518" s="57">
        <f>DD518*(12/18)*1.06*'Oil and Gas Prices'!$C$18</f>
        <v>0</v>
      </c>
      <c r="DH518" s="284">
        <f>DE518*(12/18)*'Oil and Gas Prices'!$C$4</f>
        <v>114539.99999999999</v>
      </c>
      <c r="DI518" s="284">
        <f>DG518+DH518</f>
        <v>114539.99999999999</v>
      </c>
      <c r="DJ518" s="57">
        <f>(DG518+DH518)/(DA518+DB518)</f>
        <v>38179.999999999993</v>
      </c>
      <c r="DK518" s="18">
        <f>CK518/DI518</f>
        <v>0</v>
      </c>
    </row>
    <row r="519" spans="1:115" x14ac:dyDescent="0.25">
      <c r="A519" s="27" t="s">
        <v>3286</v>
      </c>
      <c r="B519" s="21" t="s">
        <v>3287</v>
      </c>
      <c r="C519" s="21"/>
      <c r="D519" s="21" t="s">
        <v>1265</v>
      </c>
      <c r="E519" s="21" t="s">
        <v>84</v>
      </c>
      <c r="F519">
        <v>88260</v>
      </c>
      <c r="G519" t="s">
        <v>62</v>
      </c>
      <c r="I519">
        <v>484</v>
      </c>
      <c r="J519" t="s">
        <v>63</v>
      </c>
      <c r="K519" t="s">
        <v>4134</v>
      </c>
      <c r="L519" t="s">
        <v>3627</v>
      </c>
      <c r="M519">
        <v>8</v>
      </c>
      <c r="N519" t="s">
        <v>3998</v>
      </c>
      <c r="O519" s="21" t="s">
        <v>3999</v>
      </c>
      <c r="P519" s="21"/>
      <c r="Q519" s="21" t="s">
        <v>4000</v>
      </c>
      <c r="R519" s="21" t="s">
        <v>4001</v>
      </c>
      <c r="S519" s="21" t="s">
        <v>4002</v>
      </c>
      <c r="T519" t="s">
        <v>4003</v>
      </c>
      <c r="U519" t="s">
        <v>62</v>
      </c>
      <c r="V519">
        <v>6053413400</v>
      </c>
      <c r="W519" s="23">
        <v>502061</v>
      </c>
      <c r="X519" s="21">
        <v>3</v>
      </c>
      <c r="Y519" s="21">
        <v>3</v>
      </c>
      <c r="Z519">
        <v>1983</v>
      </c>
      <c r="AA519" s="21" t="s">
        <v>70</v>
      </c>
      <c r="AB519" t="s">
        <v>4004</v>
      </c>
      <c r="AC519" t="s">
        <v>98</v>
      </c>
      <c r="AD519" s="21" t="s">
        <v>99</v>
      </c>
      <c r="AE519">
        <v>1311</v>
      </c>
      <c r="AF519" t="s">
        <v>100</v>
      </c>
      <c r="AI519">
        <v>13110101</v>
      </c>
      <c r="AJ519" t="s">
        <v>102</v>
      </c>
      <c r="AM519" s="21">
        <v>211120</v>
      </c>
      <c r="AN519" s="21" t="s">
        <v>104</v>
      </c>
      <c r="AO519" s="21"/>
      <c r="AP519" s="21"/>
      <c r="AQ519" s="21" t="s">
        <v>75</v>
      </c>
      <c r="AT519" t="s">
        <v>76</v>
      </c>
      <c r="BF519">
        <v>0</v>
      </c>
      <c r="BG519" s="24">
        <v>0</v>
      </c>
      <c r="BH519" s="24"/>
      <c r="BI519" s="24"/>
      <c r="BJ519" s="24"/>
      <c r="BK519" s="24"/>
      <c r="BL519" s="24"/>
      <c r="BM519" s="24"/>
      <c r="BN519" s="24"/>
      <c r="BO519" s="24"/>
      <c r="BQ519" s="24"/>
      <c r="BR519" s="24"/>
      <c r="BS519" s="24"/>
      <c r="BU519" s="24"/>
      <c r="BX519" s="24"/>
      <c r="CG519" s="24"/>
      <c r="CH519" s="24"/>
      <c r="CI519" s="24"/>
      <c r="CJ519" s="24"/>
      <c r="CK519" s="21"/>
      <c r="CL519" s="21"/>
      <c r="CM519" s="21"/>
      <c r="CN519" s="61">
        <f>IF($BH519="",1,COUNTIF($BH$3:$BH519,$BH519))</f>
        <v>1</v>
      </c>
      <c r="CO519" s="21" t="s">
        <v>4385</v>
      </c>
      <c r="CP519" t="str">
        <f>IF($K519="Standard Match","Match",IF($K519="Name Only Match",IF($CO519="Yes","Match","Name Only Match"),"No Match"))</f>
        <v>Name Only Match</v>
      </c>
      <c r="CQ519" s="35" t="str">
        <f>IF(AND(CP519="Match",CK519&gt;0,CL519&gt;0),"Y","N")</f>
        <v>N</v>
      </c>
      <c r="CR519" s="21"/>
      <c r="CS519" t="str">
        <f>IF($CQ519="Y",VLOOKUP($CM519,'SBA Size Standards'!$B$3:$G$57,MATCH('SBA Size Standards'!$G$3,'SBA Size Standards'!$B$3:$G$3,0),FALSE),"")</f>
        <v/>
      </c>
      <c r="CT519" s="60" t="str">
        <f>IF(CQ519="Y",IF($CS519="Employment","N/A",VLOOKUP($CM519,'SBA Size Standards'!$B$3:$G$57,MATCH('SBA Size Standards'!$E$3,'SBA Size Standards'!$B$3:$G$3,0),FALSE)),"")</f>
        <v/>
      </c>
      <c r="CU519" s="86" t="str">
        <f>IF($CQ519="Y",IF($CS519="Revenue","N/A",VLOOKUP($CM519,'SBA Size Standards'!$B$3:$G$57,MATCH('SBA Size Standards'!$F$3,'SBA Size Standards'!$B$3:$G$3,0),FALSE)),"")</f>
        <v/>
      </c>
      <c r="CV519" t="str">
        <f>IF($CQ519="Y",IF(OR(AND($CS519="Employment",$CL519&lt;$CU519),AND($CS519="Revenue",$CK519&lt;$CT519)),"YES","NO"),"")</f>
        <v/>
      </c>
      <c r="CW519" s="90" t="str">
        <f>IF($CQ519="Y",INDEX('SBA Size Standards'!$N$3:$N$12,MATCH($CK519,'SBA Size Standards'!$O$3:$O$12,1)),"")</f>
        <v/>
      </c>
      <c r="CX519" s="122" t="s">
        <v>4999</v>
      </c>
      <c r="CY519" s="122">
        <f>INDEX('NM O&amp;G Production'!$P$3:$P$537,MATCH(CX519,'NM O&amp;G Production'!$Q$3:$Q$537,0))</f>
        <v>484</v>
      </c>
      <c r="CZ519" s="122" t="str">
        <f>INDEX('NM O&amp;G Production'!$O$3:$O$537,MATCH(CY519,'NM O&amp;G Production'!$P$3:$P$537,0))</f>
        <v>Yes</v>
      </c>
      <c r="DA519" s="127">
        <f>INDEX('NM O&amp;G Production'!$K$3:$O$537,MATCH($CY519,'NM O&amp;G Production'!$P$3:$P$537,0),MATCH(DA$2,'NM O&amp;G Production'!$K$2:$O$2,0))</f>
        <v>0</v>
      </c>
      <c r="DB519" s="127">
        <f>INDEX('NM O&amp;G Production'!$K$3:$O$537,MATCH($CY519,'NM O&amp;G Production'!$P$3:$P$537,0),MATCH(DB$2,'NM O&amp;G Production'!$K$2:$O$2,0))</f>
        <v>1</v>
      </c>
      <c r="DC519" s="127"/>
      <c r="DD519" s="127">
        <f>INDEX('NM O&amp;G Production'!$K$3:$O$537,MATCH($CY519,'NM O&amp;G Production'!$P$3:$P$537,0),MATCH(DD$2,'NM O&amp;G Production'!$K$2:$O$2,0))</f>
        <v>0</v>
      </c>
      <c r="DE519" s="127">
        <f>INDEX('NM O&amp;G Production'!$K$3:$O$537,MATCH($CY519,'NM O&amp;G Production'!$P$3:$P$537,0),MATCH(DE$2,'NM O&amp;G Production'!$K$2:$O$2,0))</f>
        <v>1042</v>
      </c>
      <c r="DF519" s="258">
        <f>CK519/(DB519+DA519)</f>
        <v>0</v>
      </c>
      <c r="DG519" s="57">
        <f>DD519*(12/18)*1.06*'Oil and Gas Prices'!$C$18</f>
        <v>0</v>
      </c>
      <c r="DH519" s="284">
        <f>DE519*(12/18)*'Oil and Gas Prices'!$C$4</f>
        <v>31260</v>
      </c>
      <c r="DI519" s="284">
        <f>DG519+DH519</f>
        <v>31260</v>
      </c>
      <c r="DJ519" s="57">
        <f>(DG519+DH519)/(DA519+DB519)</f>
        <v>31260</v>
      </c>
      <c r="DK519" s="18">
        <f>CK519/DI519</f>
        <v>0</v>
      </c>
    </row>
    <row r="520" spans="1:115" x14ac:dyDescent="0.25">
      <c r="A520" s="27" t="s">
        <v>171</v>
      </c>
      <c r="B520" s="21" t="s">
        <v>172</v>
      </c>
      <c r="C520" s="21"/>
      <c r="D520" s="21" t="s">
        <v>123</v>
      </c>
      <c r="E520" s="21" t="s">
        <v>84</v>
      </c>
      <c r="F520" s="21">
        <v>87499</v>
      </c>
      <c r="G520" s="21" t="s">
        <v>62</v>
      </c>
      <c r="H520" s="21"/>
      <c r="I520" s="21">
        <v>14</v>
      </c>
      <c r="J520" s="21" t="s">
        <v>63</v>
      </c>
      <c r="K520" s="21" t="s">
        <v>4134</v>
      </c>
      <c r="L520" s="21" t="s">
        <v>3627</v>
      </c>
      <c r="M520" s="21">
        <v>8</v>
      </c>
      <c r="N520" s="21" t="s">
        <v>3736</v>
      </c>
      <c r="O520" s="21" t="s">
        <v>3737</v>
      </c>
      <c r="P520" s="21" t="s">
        <v>3738</v>
      </c>
      <c r="Q520" s="21" t="s">
        <v>3739</v>
      </c>
      <c r="R520" s="21" t="s">
        <v>3740</v>
      </c>
      <c r="S520" s="21" t="s">
        <v>3741</v>
      </c>
      <c r="T520" s="21" t="s">
        <v>3742</v>
      </c>
      <c r="U520" s="21" t="s">
        <v>62</v>
      </c>
      <c r="V520" s="21">
        <v>8032597578</v>
      </c>
      <c r="W520" s="23">
        <v>31956128</v>
      </c>
      <c r="X520" s="21">
        <v>12</v>
      </c>
      <c r="Y520" s="21">
        <v>182</v>
      </c>
      <c r="Z520" s="21">
        <v>1954</v>
      </c>
      <c r="AA520" s="21" t="s">
        <v>163</v>
      </c>
      <c r="AB520" s="21" t="s">
        <v>3743</v>
      </c>
      <c r="AC520" s="21" t="s">
        <v>1234</v>
      </c>
      <c r="AD520" s="21" t="s">
        <v>579</v>
      </c>
      <c r="AE520" s="21">
        <v>5411</v>
      </c>
      <c r="AF520" s="21" t="s">
        <v>580</v>
      </c>
      <c r="AG520" s="21">
        <v>5014</v>
      </c>
      <c r="AH520" s="21" t="s">
        <v>3744</v>
      </c>
      <c r="AI520" s="21">
        <v>54110200</v>
      </c>
      <c r="AJ520" s="21" t="s">
        <v>895</v>
      </c>
      <c r="AK520" s="21">
        <v>50149901</v>
      </c>
      <c r="AL520" s="21" t="s">
        <v>3745</v>
      </c>
      <c r="AM520" s="21">
        <v>445120</v>
      </c>
      <c r="AN520" s="21" t="s">
        <v>897</v>
      </c>
      <c r="AO520" s="21">
        <v>423130</v>
      </c>
      <c r="AP520" s="21" t="s">
        <v>3746</v>
      </c>
      <c r="AQ520" s="21" t="s">
        <v>75</v>
      </c>
      <c r="AR520" s="21" t="s">
        <v>3736</v>
      </c>
      <c r="AS520" s="21" t="s">
        <v>3737</v>
      </c>
      <c r="AT520" s="21" t="s">
        <v>427</v>
      </c>
      <c r="AU520" s="21" t="s">
        <v>3747</v>
      </c>
      <c r="AV520" s="21" t="s">
        <v>62</v>
      </c>
      <c r="AW520" s="21" t="s">
        <v>3736</v>
      </c>
      <c r="AX520" s="21" t="s">
        <v>3737</v>
      </c>
      <c r="AY520" s="21" t="s">
        <v>3747</v>
      </c>
      <c r="AZ520" s="21" t="s">
        <v>62</v>
      </c>
      <c r="BA520" s="21"/>
      <c r="BB520" s="21"/>
      <c r="BC520" s="21"/>
      <c r="BD520" s="21"/>
      <c r="BE520" s="21" t="s">
        <v>62</v>
      </c>
      <c r="BF520" s="21">
        <v>1</v>
      </c>
      <c r="BG520" s="21">
        <v>7</v>
      </c>
      <c r="BH520" s="21" t="s">
        <v>3736</v>
      </c>
      <c r="BI520" s="21" t="s">
        <v>3737</v>
      </c>
      <c r="BJ520" s="21" t="s">
        <v>3738</v>
      </c>
      <c r="BK520" s="21" t="s">
        <v>3739</v>
      </c>
      <c r="BL520" s="21" t="s">
        <v>3740</v>
      </c>
      <c r="BM520" s="21" t="s">
        <v>3741</v>
      </c>
      <c r="BN520" s="21" t="s">
        <v>3742</v>
      </c>
      <c r="BO520" s="21" t="s">
        <v>62</v>
      </c>
      <c r="BP520" s="21">
        <v>8032597578</v>
      </c>
      <c r="BQ520" s="23">
        <v>31956128</v>
      </c>
      <c r="BR520" s="21">
        <v>12</v>
      </c>
      <c r="BS520" s="21">
        <v>182</v>
      </c>
      <c r="BT520" s="21">
        <v>1954</v>
      </c>
      <c r="BU520" s="21" t="s">
        <v>163</v>
      </c>
      <c r="BV520" s="21" t="s">
        <v>3743</v>
      </c>
      <c r="BW520" s="21" t="s">
        <v>1234</v>
      </c>
      <c r="BX520" s="21" t="s">
        <v>579</v>
      </c>
      <c r="BY520" s="21">
        <v>5411</v>
      </c>
      <c r="BZ520" s="21" t="s">
        <v>580</v>
      </c>
      <c r="CA520" s="21">
        <v>5014</v>
      </c>
      <c r="CB520" s="21" t="s">
        <v>3744</v>
      </c>
      <c r="CC520" s="21">
        <v>54110200</v>
      </c>
      <c r="CD520" s="21" t="s">
        <v>895</v>
      </c>
      <c r="CE520" s="21">
        <v>50149901</v>
      </c>
      <c r="CF520" s="21" t="s">
        <v>3745</v>
      </c>
      <c r="CG520" s="21">
        <v>445120</v>
      </c>
      <c r="CH520" s="21" t="s">
        <v>897</v>
      </c>
      <c r="CI520" s="21">
        <v>423130</v>
      </c>
      <c r="CJ520" s="21" t="s">
        <v>3746</v>
      </c>
      <c r="CK520" s="21"/>
      <c r="CL520" s="21"/>
      <c r="CM520" s="21"/>
      <c r="CN520" s="61">
        <f>IF($BH520="",1,COUNTIF($BH$3:$BH520,$BH520))</f>
        <v>1</v>
      </c>
      <c r="CO520" s="21" t="s">
        <v>4385</v>
      </c>
      <c r="CP520" t="str">
        <f>IF($K520="Standard Match","Match",IF($K520="Name Only Match",IF($CO520="Yes","Match","Name Only Match"),"No Match"))</f>
        <v>Name Only Match</v>
      </c>
      <c r="CQ520" s="35" t="str">
        <f>IF(AND(CP520="Match",CK520&gt;0,CL520&gt;0),"Y","N")</f>
        <v>N</v>
      </c>
      <c r="CR520" s="30" t="s">
        <v>4387</v>
      </c>
      <c r="CS520" t="str">
        <f>IF($CQ520="Y",VLOOKUP($CM520,'SBA Size Standards'!$B$3:$G$57,MATCH('SBA Size Standards'!$G$3,'SBA Size Standards'!$B$3:$G$3,0),FALSE),"")</f>
        <v/>
      </c>
      <c r="CT520" s="60" t="str">
        <f>IF(CQ520="Y",IF($CS520="Employment","N/A",VLOOKUP($CM520,'SBA Size Standards'!$B$3:$G$57,MATCH('SBA Size Standards'!$E$3,'SBA Size Standards'!$B$3:$G$3,0),FALSE)),"")</f>
        <v/>
      </c>
      <c r="CU520" s="86" t="str">
        <f>IF($CQ520="Y",IF($CS520="Revenue","N/A",VLOOKUP($CM520,'SBA Size Standards'!$B$3:$G$57,MATCH('SBA Size Standards'!$F$3,'SBA Size Standards'!$B$3:$G$3,0),FALSE)),"")</f>
        <v/>
      </c>
      <c r="CV520" t="str">
        <f>IF($CQ520="Y",IF(OR(AND($CS520="Employment",$CL520&lt;$CU520),AND($CS520="Revenue",$CK520&lt;$CT520)),"YES","NO"),"")</f>
        <v/>
      </c>
      <c r="CW520" s="90" t="str">
        <f>IF($CQ520="Y",INDEX('SBA Size Standards'!$N$3:$N$12,MATCH($CK520,'SBA Size Standards'!$O$3:$O$12,1)),"")</f>
        <v/>
      </c>
      <c r="CX520" s="122" t="s">
        <v>4930</v>
      </c>
      <c r="CY520" s="122">
        <f>INDEX('NM O&amp;G Production'!$P$3:$P$537,MATCH(CX520,'NM O&amp;G Production'!$Q$3:$Q$537,0))</f>
        <v>14</v>
      </c>
      <c r="CZ520" s="122" t="str">
        <f>INDEX('NM O&amp;G Production'!$O$3:$O$537,MATCH(CY520,'NM O&amp;G Production'!$P$3:$P$537,0))</f>
        <v>Yes</v>
      </c>
      <c r="DA520" s="127">
        <f>INDEX('NM O&amp;G Production'!$K$3:$O$537,MATCH($CY520,'NM O&amp;G Production'!$P$3:$P$537,0),MATCH(DA$2,'NM O&amp;G Production'!$K$2:$O$2,0))</f>
        <v>0</v>
      </c>
      <c r="DB520" s="127">
        <f>INDEX('NM O&amp;G Production'!$K$3:$O$537,MATCH($CY520,'NM O&amp;G Production'!$P$3:$P$537,0),MATCH(DB$2,'NM O&amp;G Production'!$K$2:$O$2,0))</f>
        <v>3</v>
      </c>
      <c r="DC520" s="127"/>
      <c r="DD520" s="127">
        <f>INDEX('NM O&amp;G Production'!$K$3:$O$537,MATCH($CY520,'NM O&amp;G Production'!$P$3:$P$537,0),MATCH(DD$2,'NM O&amp;G Production'!$K$2:$O$2,0))</f>
        <v>29538</v>
      </c>
      <c r="DE520" s="127">
        <f>INDEX('NM O&amp;G Production'!$K$3:$O$537,MATCH($CY520,'NM O&amp;G Production'!$P$3:$P$537,0),MATCH(DE$2,'NM O&amp;G Production'!$K$2:$O$2,0))</f>
        <v>0</v>
      </c>
      <c r="DF520" s="258">
        <f>CK520/(DB520+DA520)</f>
        <v>0</v>
      </c>
      <c r="DG520" s="57">
        <f>DD520*(12/18)*1.06*'Oil and Gas Prices'!$C$18</f>
        <v>49887.712800000001</v>
      </c>
      <c r="DH520" s="284">
        <f>DE520*(12/18)*'Oil and Gas Prices'!$C$4</f>
        <v>0</v>
      </c>
      <c r="DI520" s="284">
        <f>DG520+DH520</f>
        <v>49887.712800000001</v>
      </c>
      <c r="DJ520" s="57">
        <f>(DG520+DH520)/(DA520+DB520)</f>
        <v>16629.2376</v>
      </c>
      <c r="DK520" s="18">
        <f>CK520/DI520</f>
        <v>0</v>
      </c>
    </row>
    <row r="521" spans="1:115" x14ac:dyDescent="0.25">
      <c r="A521" s="27" t="s">
        <v>3370</v>
      </c>
      <c r="B521" t="s">
        <v>3371</v>
      </c>
      <c r="D521" t="s">
        <v>1203</v>
      </c>
      <c r="E521" t="s">
        <v>184</v>
      </c>
      <c r="F521">
        <v>73034</v>
      </c>
      <c r="G521" t="s">
        <v>62</v>
      </c>
      <c r="I521">
        <v>498</v>
      </c>
      <c r="J521" t="s">
        <v>63</v>
      </c>
      <c r="K521" t="s">
        <v>4134</v>
      </c>
      <c r="L521" t="s">
        <v>3627</v>
      </c>
      <c r="M521">
        <v>8</v>
      </c>
      <c r="N521" t="s">
        <v>4011</v>
      </c>
      <c r="O521" s="21" t="s">
        <v>4012</v>
      </c>
      <c r="Q521" t="s">
        <v>4013</v>
      </c>
      <c r="R521" t="s">
        <v>4014</v>
      </c>
      <c r="S521" t="s">
        <v>3635</v>
      </c>
      <c r="T521" t="s">
        <v>4015</v>
      </c>
      <c r="U521" t="s">
        <v>62</v>
      </c>
      <c r="V521">
        <v>5034631653</v>
      </c>
      <c r="W521" s="1">
        <v>2500000</v>
      </c>
      <c r="X521">
        <v>30</v>
      </c>
      <c r="Y521">
        <v>30</v>
      </c>
      <c r="Z521">
        <v>1994</v>
      </c>
      <c r="AA521" t="s">
        <v>70</v>
      </c>
      <c r="AB521" t="s">
        <v>4016</v>
      </c>
      <c r="AC521" t="s">
        <v>98</v>
      </c>
      <c r="AD521" t="s">
        <v>4017</v>
      </c>
      <c r="AE521">
        <v>5148</v>
      </c>
      <c r="AF521" t="s">
        <v>4018</v>
      </c>
      <c r="AG521">
        <v>723</v>
      </c>
      <c r="AH521" t="s">
        <v>4019</v>
      </c>
      <c r="AI521">
        <v>51480000</v>
      </c>
      <c r="AJ521" t="s">
        <v>4017</v>
      </c>
      <c r="AK521">
        <v>7230000</v>
      </c>
      <c r="AL521" t="s">
        <v>4020</v>
      </c>
      <c r="AM521">
        <v>424480</v>
      </c>
      <c r="AN521" t="s">
        <v>4021</v>
      </c>
      <c r="AO521">
        <v>115114</v>
      </c>
      <c r="AP521" t="s">
        <v>4022</v>
      </c>
      <c r="AQ521" t="s">
        <v>75</v>
      </c>
      <c r="AT521" t="s">
        <v>76</v>
      </c>
      <c r="BF521">
        <v>0</v>
      </c>
      <c r="BG521">
        <v>0</v>
      </c>
      <c r="CK521"/>
      <c r="CL521"/>
      <c r="CN521" s="35">
        <f>IF($BH521="",1,COUNTIF($BH$3:$BH521,$BH521))</f>
        <v>1</v>
      </c>
      <c r="CO521" s="21" t="s">
        <v>4385</v>
      </c>
      <c r="CP521" t="str">
        <f>IF($K521="Standard Match","Match",IF($K521="Name Only Match",IF($CO521="Yes","Match","Name Only Match"),"No Match"))</f>
        <v>Name Only Match</v>
      </c>
      <c r="CQ521" s="35" t="str">
        <f>IF(AND(CP521="Match",CK521&gt;0,CL521&gt;0),"Y","N")</f>
        <v>N</v>
      </c>
      <c r="CS521" t="str">
        <f>IF($CQ521="Y",VLOOKUP($CM521,'SBA Size Standards'!$B$3:$G$57,MATCH('SBA Size Standards'!$G$3,'SBA Size Standards'!$B$3:$G$3,0),FALSE),"")</f>
        <v/>
      </c>
      <c r="CT521" s="60" t="str">
        <f>IF(CQ521="Y",IF($CS521="Employment","N/A",VLOOKUP($CM521,'SBA Size Standards'!$B$3:$G$57,MATCH('SBA Size Standards'!$E$3,'SBA Size Standards'!$B$3:$G$3,0),FALSE)),"")</f>
        <v/>
      </c>
      <c r="CU521" s="86" t="str">
        <f>IF($CQ521="Y",IF($CS521="Revenue","N/A",VLOOKUP($CM521,'SBA Size Standards'!$B$3:$G$57,MATCH('SBA Size Standards'!$F$3,'SBA Size Standards'!$B$3:$G$3,0),FALSE)),"")</f>
        <v/>
      </c>
      <c r="CV521" t="str">
        <f>IF($CQ521="Y",IF(OR(AND($CS521="Employment",$CL521&lt;$CU521),AND($CS521="Revenue",$CK521&lt;$CT521)),"YES","NO"),"")</f>
        <v/>
      </c>
      <c r="CW521" s="90" t="str">
        <f>IF($CQ521="Y",INDEX('SBA Size Standards'!$N$3:$N$12,MATCH($CK521,'SBA Size Standards'!$O$3:$O$12,1)),"")</f>
        <v/>
      </c>
      <c r="CX521" s="122" t="s">
        <v>5001</v>
      </c>
      <c r="CY521" s="122">
        <f>INDEX('NM O&amp;G Production'!$P$3:$P$537,MATCH(CX521,'NM O&amp;G Production'!$Q$3:$Q$537,0))</f>
        <v>498</v>
      </c>
      <c r="CZ521" s="122" t="str">
        <f>INDEX('NM O&amp;G Production'!$O$3:$O$537,MATCH(CY521,'NM O&amp;G Production'!$P$3:$P$537,0))</f>
        <v>Yes</v>
      </c>
      <c r="DA521" s="127">
        <f>INDEX('NM O&amp;G Production'!$K$3:$O$537,MATCH($CY521,'NM O&amp;G Production'!$P$3:$P$537,0),MATCH(DA$2,'NM O&amp;G Production'!$K$2:$O$2,0))</f>
        <v>3</v>
      </c>
      <c r="DB521" s="127">
        <f>INDEX('NM O&amp;G Production'!$K$3:$O$537,MATCH($CY521,'NM O&amp;G Production'!$P$3:$P$537,0),MATCH(DB$2,'NM O&amp;G Production'!$K$2:$O$2,0))</f>
        <v>19</v>
      </c>
      <c r="DC521" s="127"/>
      <c r="DD521" s="127">
        <f>INDEX('NM O&amp;G Production'!$K$3:$O$537,MATCH($CY521,'NM O&amp;G Production'!$P$3:$P$537,0),MATCH(DD$2,'NM O&amp;G Production'!$K$2:$O$2,0))</f>
        <v>65487</v>
      </c>
      <c r="DE521" s="127">
        <f>INDEX('NM O&amp;G Production'!$K$3:$O$537,MATCH($CY521,'NM O&amp;G Production'!$P$3:$P$537,0),MATCH(DE$2,'NM O&amp;G Production'!$K$2:$O$2,0))</f>
        <v>6240</v>
      </c>
      <c r="DF521" s="258">
        <f>CK521/(DB521+DA521)</f>
        <v>0</v>
      </c>
      <c r="DG521" s="57">
        <f>DD521*(12/18)*1.06*'Oil and Gas Prices'!$C$18</f>
        <v>110603.17720000002</v>
      </c>
      <c r="DH521" s="284">
        <f>DE521*(12/18)*'Oil and Gas Prices'!$C$4</f>
        <v>187200</v>
      </c>
      <c r="DI521" s="284">
        <f>DG521+DH521</f>
        <v>297803.17720000003</v>
      </c>
      <c r="DJ521" s="57">
        <f>(DG521+DH521)/(DA521+DB521)</f>
        <v>13536.508054545457</v>
      </c>
      <c r="DK521" s="18">
        <f>CK521/DI521</f>
        <v>0</v>
      </c>
    </row>
    <row r="522" spans="1:115" x14ac:dyDescent="0.25">
      <c r="A522" s="27" t="s">
        <v>81</v>
      </c>
      <c r="B522" s="21" t="s">
        <v>82</v>
      </c>
      <c r="C522" s="21"/>
      <c r="D522" s="21" t="s">
        <v>83</v>
      </c>
      <c r="E522" s="21" t="s">
        <v>84</v>
      </c>
      <c r="F522">
        <v>88211</v>
      </c>
      <c r="G522" t="s">
        <v>62</v>
      </c>
      <c r="I522">
        <v>3</v>
      </c>
      <c r="J522" t="s">
        <v>63</v>
      </c>
      <c r="K522" t="s">
        <v>4134</v>
      </c>
      <c r="L522" t="s">
        <v>3627</v>
      </c>
      <c r="M522">
        <v>8</v>
      </c>
      <c r="N522" t="s">
        <v>3723</v>
      </c>
      <c r="O522" s="21" t="s">
        <v>3724</v>
      </c>
      <c r="P522" s="21"/>
      <c r="Q522" s="21" t="s">
        <v>3725</v>
      </c>
      <c r="R522" s="21" t="s">
        <v>3726</v>
      </c>
      <c r="S522" s="21" t="s">
        <v>3662</v>
      </c>
      <c r="T522" t="s">
        <v>3727</v>
      </c>
      <c r="U522" t="s">
        <v>62</v>
      </c>
      <c r="V522">
        <v>3105733735</v>
      </c>
      <c r="W522" s="23">
        <v>117343</v>
      </c>
      <c r="X522" s="21">
        <v>2</v>
      </c>
      <c r="Y522" s="21">
        <v>2</v>
      </c>
      <c r="Z522">
        <v>2001</v>
      </c>
      <c r="AA522" s="21" t="s">
        <v>70</v>
      </c>
      <c r="AB522" t="s">
        <v>3728</v>
      </c>
      <c r="AC522" t="s">
        <v>231</v>
      </c>
      <c r="AD522" s="21" t="s">
        <v>1300</v>
      </c>
      <c r="AE522">
        <v>7389</v>
      </c>
      <c r="AF522" t="s">
        <v>1301</v>
      </c>
      <c r="AI522">
        <v>73899999</v>
      </c>
      <c r="AJ522" t="s">
        <v>1935</v>
      </c>
      <c r="AM522" s="21">
        <v>561990</v>
      </c>
      <c r="AN522" s="21" t="s">
        <v>1936</v>
      </c>
      <c r="AO522" s="21"/>
      <c r="AP522" s="21"/>
      <c r="AQ522" s="21" t="s">
        <v>75</v>
      </c>
      <c r="AT522" t="s">
        <v>76</v>
      </c>
      <c r="BF522">
        <v>0</v>
      </c>
      <c r="BG522" s="21">
        <v>0</v>
      </c>
      <c r="BH522" s="21"/>
      <c r="BI522" s="21"/>
      <c r="BJ522" s="21"/>
      <c r="BK522" s="21"/>
      <c r="BL522" s="21"/>
      <c r="BM522" s="21"/>
      <c r="BN522" s="21"/>
      <c r="BO522" s="21"/>
      <c r="BQ522" s="21"/>
      <c r="BR522" s="21"/>
      <c r="BS522" s="21"/>
      <c r="BU522" s="21"/>
      <c r="BX522" s="21"/>
      <c r="CG522" s="21"/>
      <c r="CH522" s="21"/>
      <c r="CI522" s="21"/>
      <c r="CJ522" s="21"/>
      <c r="CK522" s="21"/>
      <c r="CL522" s="21"/>
      <c r="CM522" s="21"/>
      <c r="CN522" s="61">
        <f>IF($BH522="",1,COUNTIF($BH$3:$BH522,$BH522))</f>
        <v>1</v>
      </c>
      <c r="CO522" s="21" t="s">
        <v>4385</v>
      </c>
      <c r="CP522" t="str">
        <f>IF($K522="Standard Match","Match",IF($K522="Name Only Match",IF($CO522="Yes","Match","Name Only Match"),"No Match"))</f>
        <v>Name Only Match</v>
      </c>
      <c r="CQ522" s="35" t="str">
        <f>IF(AND(CP522="Match",CK522&gt;0,CL522&gt;0),"Y","N")</f>
        <v>N</v>
      </c>
      <c r="CR522" s="21" t="s">
        <v>4383</v>
      </c>
      <c r="CS522" t="str">
        <f>IF($CQ522="Y",VLOOKUP($CM522,'SBA Size Standards'!$B$3:$G$57,MATCH('SBA Size Standards'!$G$3,'SBA Size Standards'!$B$3:$G$3,0),FALSE),"")</f>
        <v/>
      </c>
      <c r="CT522" s="60" t="str">
        <f>IF(CQ522="Y",IF($CS522="Employment","N/A",VLOOKUP($CM522,'SBA Size Standards'!$B$3:$G$57,MATCH('SBA Size Standards'!$E$3,'SBA Size Standards'!$B$3:$G$3,0),FALSE)),"")</f>
        <v/>
      </c>
      <c r="CU522" s="86" t="str">
        <f>IF($CQ522="Y",IF($CS522="Revenue","N/A",VLOOKUP($CM522,'SBA Size Standards'!$B$3:$G$57,MATCH('SBA Size Standards'!$F$3,'SBA Size Standards'!$B$3:$G$3,0),FALSE)),"")</f>
        <v/>
      </c>
      <c r="CV522" t="str">
        <f>IF($CQ522="Y",IF(OR(AND($CS522="Employment",$CL522&lt;$CU522),AND($CS522="Revenue",$CK522&lt;$CT522)),"YES","NO"),"")</f>
        <v/>
      </c>
      <c r="CW522" s="90" t="str">
        <f>IF($CQ522="Y",INDEX('SBA Size Standards'!$N$3:$N$12,MATCH($CK522,'SBA Size Standards'!$O$3:$O$12,1)),"")</f>
        <v/>
      </c>
      <c r="CX522" s="122" t="s">
        <v>4927</v>
      </c>
      <c r="CY522" s="122">
        <f>INDEX('NM O&amp;G Production'!$P$3:$P$537,MATCH(CX522,'NM O&amp;G Production'!$Q$3:$Q$537,0))</f>
        <v>3</v>
      </c>
      <c r="CZ522" s="122" t="str">
        <f>INDEX('NM O&amp;G Production'!$O$3:$O$537,MATCH(CY522,'NM O&amp;G Production'!$P$3:$P$537,0))</f>
        <v>Yes</v>
      </c>
      <c r="DA522" s="127">
        <f>INDEX('NM O&amp;G Production'!$K$3:$O$537,MATCH($CY522,'NM O&amp;G Production'!$P$3:$P$537,0),MATCH(DA$2,'NM O&amp;G Production'!$K$2:$O$2,0))</f>
        <v>1</v>
      </c>
      <c r="DB522" s="127">
        <f>INDEX('NM O&amp;G Production'!$K$3:$O$537,MATCH($CY522,'NM O&amp;G Production'!$P$3:$P$537,0),MATCH(DB$2,'NM O&amp;G Production'!$K$2:$O$2,0))</f>
        <v>4</v>
      </c>
      <c r="DC522" s="127"/>
      <c r="DD522" s="127">
        <f>INDEX('NM O&amp;G Production'!$K$3:$O$537,MATCH($CY522,'NM O&amp;G Production'!$P$3:$P$537,0),MATCH(DD$2,'NM O&amp;G Production'!$K$2:$O$2,0))</f>
        <v>15034</v>
      </c>
      <c r="DE522" s="127">
        <f>INDEX('NM O&amp;G Production'!$K$3:$O$537,MATCH($CY522,'NM O&amp;G Production'!$P$3:$P$537,0),MATCH(DE$2,'NM O&amp;G Production'!$K$2:$O$2,0))</f>
        <v>1261</v>
      </c>
      <c r="DF522" s="258">
        <f>CK522/(DB522+DA522)</f>
        <v>0</v>
      </c>
      <c r="DG522" s="57">
        <f>DD522*(12/18)*1.06*'Oil and Gas Prices'!$C$18</f>
        <v>25391.423733333333</v>
      </c>
      <c r="DH522" s="284">
        <f>DE522*(12/18)*'Oil and Gas Prices'!$C$4</f>
        <v>37830</v>
      </c>
      <c r="DI522" s="284">
        <f>DG522+DH522</f>
        <v>63221.423733333329</v>
      </c>
      <c r="DJ522" s="57">
        <f>(DG522+DH522)/(DA522+DB522)</f>
        <v>12644.284746666666</v>
      </c>
      <c r="DK522" s="18">
        <f>CK522/DI522</f>
        <v>0</v>
      </c>
    </row>
    <row r="523" spans="1:115" x14ac:dyDescent="0.25">
      <c r="A523" s="27" t="s">
        <v>2624</v>
      </c>
      <c r="B523" s="21" t="s">
        <v>2504</v>
      </c>
      <c r="C523" s="21"/>
      <c r="D523" s="21" t="s">
        <v>513</v>
      </c>
      <c r="E523" s="21" t="s">
        <v>84</v>
      </c>
      <c r="F523">
        <v>88231</v>
      </c>
      <c r="G523" t="s">
        <v>62</v>
      </c>
      <c r="I523">
        <v>379</v>
      </c>
      <c r="J523" t="s">
        <v>89</v>
      </c>
      <c r="K523" t="s">
        <v>4134</v>
      </c>
      <c r="L523" t="s">
        <v>3627</v>
      </c>
      <c r="M523">
        <v>8</v>
      </c>
      <c r="N523" t="s">
        <v>4125</v>
      </c>
      <c r="O523" s="21" t="s">
        <v>4126</v>
      </c>
      <c r="P523" s="21"/>
      <c r="Q523" s="21" t="s">
        <v>4127</v>
      </c>
      <c r="R523" s="21" t="s">
        <v>3851</v>
      </c>
      <c r="S523" s="21" t="s">
        <v>390</v>
      </c>
      <c r="T523" t="s">
        <v>4128</v>
      </c>
      <c r="U523" t="s">
        <v>62</v>
      </c>
      <c r="V523">
        <v>7732380068</v>
      </c>
      <c r="W523" s="23">
        <v>120000</v>
      </c>
      <c r="X523" s="21">
        <v>3</v>
      </c>
      <c r="Y523" s="21">
        <v>3</v>
      </c>
      <c r="Z523">
        <v>1996</v>
      </c>
      <c r="AA523" s="21" t="s">
        <v>70</v>
      </c>
      <c r="AB523" t="s">
        <v>4129</v>
      </c>
      <c r="AC523" t="s">
        <v>483</v>
      </c>
      <c r="AD523" s="21" t="s">
        <v>4130</v>
      </c>
      <c r="AE523">
        <v>8021</v>
      </c>
      <c r="AF523" t="s">
        <v>4131</v>
      </c>
      <c r="AI523">
        <v>80210000</v>
      </c>
      <c r="AJ523" t="s">
        <v>4130</v>
      </c>
      <c r="AM523" s="21">
        <v>621210</v>
      </c>
      <c r="AN523" s="21" t="s">
        <v>4132</v>
      </c>
      <c r="AO523" s="21"/>
      <c r="AP523" s="21"/>
      <c r="AQ523" s="21" t="s">
        <v>75</v>
      </c>
      <c r="AT523" t="s">
        <v>76</v>
      </c>
      <c r="BF523">
        <v>0</v>
      </c>
      <c r="BG523">
        <v>0</v>
      </c>
      <c r="BH523" s="132"/>
      <c r="BI523" s="132"/>
      <c r="BJ523" s="132"/>
      <c r="BK523" s="132"/>
      <c r="BL523" s="132"/>
      <c r="BM523" s="132"/>
      <c r="BN523" s="132"/>
      <c r="BO523" s="132"/>
      <c r="BP523" s="132"/>
      <c r="BQ523" s="132"/>
      <c r="BR523" s="132"/>
      <c r="BS523" s="132"/>
      <c r="BT523" s="132"/>
      <c r="BU523" s="132"/>
      <c r="BV523" s="132"/>
      <c r="BW523" s="132"/>
      <c r="BX523" s="132"/>
      <c r="BY523" s="132"/>
      <c r="BZ523" s="132"/>
      <c r="CA523" s="132"/>
      <c r="CB523" s="132"/>
      <c r="CC523" s="132"/>
      <c r="CD523" s="132"/>
      <c r="CE523" s="132"/>
      <c r="CF523" s="132"/>
      <c r="CG523" s="132"/>
      <c r="CH523" s="132"/>
      <c r="CI523" s="132"/>
      <c r="CJ523" s="132"/>
      <c r="CK523" s="21"/>
      <c r="CL523" s="21"/>
      <c r="CM523" s="21"/>
      <c r="CN523" s="61">
        <f>IF($BH523="",1,COUNTIF($BH$3:$BH523,$BH523))</f>
        <v>1</v>
      </c>
      <c r="CO523" s="21" t="s">
        <v>4385</v>
      </c>
      <c r="CP523" t="str">
        <f>IF($K523="Standard Match","Match",IF($K523="Name Only Match",IF($CO523="Yes","Match","Name Only Match"),"No Match"))</f>
        <v>Name Only Match</v>
      </c>
      <c r="CQ523" s="35" t="str">
        <f>IF(AND(CP523="Match",CK523&gt;0,CL523&gt;0),"Y","N")</f>
        <v>N</v>
      </c>
      <c r="CR523" s="21" t="s">
        <v>4396</v>
      </c>
      <c r="CS523" t="str">
        <f>IF($CQ523="Y",VLOOKUP($CM523,'SBA Size Standards'!$B$3:$G$57,MATCH('SBA Size Standards'!$G$3,'SBA Size Standards'!$B$3:$G$3,0),FALSE),"")</f>
        <v/>
      </c>
      <c r="CT523" s="60" t="str">
        <f>IF(CQ523="Y",IF($CS523="Employment","N/A",VLOOKUP($CM523,'SBA Size Standards'!$B$3:$G$57,MATCH('SBA Size Standards'!$E$3,'SBA Size Standards'!$B$3:$G$3,0),FALSE)),"")</f>
        <v/>
      </c>
      <c r="CU523" s="86" t="str">
        <f>IF($CQ523="Y",IF($CS523="Revenue","N/A",VLOOKUP($CM523,'SBA Size Standards'!$B$3:$G$57,MATCH('SBA Size Standards'!$F$3,'SBA Size Standards'!$B$3:$G$3,0),FALSE)),"")</f>
        <v/>
      </c>
      <c r="CV523" t="str">
        <f>IF($CQ523="Y",IF(OR(AND($CS523="Employment",$CL523&lt;$CU523),AND($CS523="Revenue",$CK523&lt;$CT523)),"YES","NO"),"")</f>
        <v/>
      </c>
      <c r="CW523" s="90" t="str">
        <f>IF($CQ523="Y",INDEX('SBA Size Standards'!$N$3:$N$12,MATCH($CK523,'SBA Size Standards'!$O$3:$O$12,1)),"")</f>
        <v/>
      </c>
      <c r="CX523" s="122" t="s">
        <v>4989</v>
      </c>
      <c r="CY523" s="122">
        <f>INDEX('NM O&amp;G Production'!$P$3:$P$537,MATCH(CX523,'NM O&amp;G Production'!$Q$3:$Q$537,0))</f>
        <v>379</v>
      </c>
      <c r="CZ523" s="122" t="str">
        <f>INDEX('NM O&amp;G Production'!$O$3:$O$537,MATCH(CY523,'NM O&amp;G Production'!$P$3:$P$537,0))</f>
        <v>Yes</v>
      </c>
      <c r="DA523" s="127">
        <f>INDEX('NM O&amp;G Production'!$K$3:$O$537,MATCH($CY523,'NM O&amp;G Production'!$P$3:$P$537,0),MATCH(DA$2,'NM O&amp;G Production'!$K$2:$O$2,0))</f>
        <v>0</v>
      </c>
      <c r="DB523" s="127">
        <f>INDEX('NM O&amp;G Production'!$K$3:$O$537,MATCH($CY523,'NM O&amp;G Production'!$P$3:$P$537,0),MATCH(DB$2,'NM O&amp;G Production'!$K$2:$O$2,0))</f>
        <v>2</v>
      </c>
      <c r="DC523" s="127"/>
      <c r="DD523" s="127">
        <f>INDEX('NM O&amp;G Production'!$K$3:$O$537,MATCH($CY523,'NM O&amp;G Production'!$P$3:$P$537,0),MATCH(DD$2,'NM O&amp;G Production'!$K$2:$O$2,0))</f>
        <v>444</v>
      </c>
      <c r="DE523" s="127">
        <f>INDEX('NM O&amp;G Production'!$K$3:$O$537,MATCH($CY523,'NM O&amp;G Production'!$P$3:$P$537,0),MATCH(DE$2,'NM O&amp;G Production'!$K$2:$O$2,0))</f>
        <v>507</v>
      </c>
      <c r="DF523" s="258">
        <f>CK523/(DB523+DA523)</f>
        <v>0</v>
      </c>
      <c r="DG523" s="57">
        <f>DD523*(12/18)*1.06*'Oil and Gas Prices'!$C$18</f>
        <v>749.88639999999998</v>
      </c>
      <c r="DH523" s="284">
        <f>DE523*(12/18)*'Oil and Gas Prices'!$C$4</f>
        <v>15210</v>
      </c>
      <c r="DI523" s="284">
        <f>DG523+DH523</f>
        <v>15959.886399999999</v>
      </c>
      <c r="DJ523" s="57">
        <f>(DG523+DH523)/(DA523+DB523)</f>
        <v>7979.9431999999997</v>
      </c>
      <c r="DK523" s="18">
        <f>CK523/DI523</f>
        <v>0</v>
      </c>
    </row>
    <row r="524" spans="1:115" x14ac:dyDescent="0.25">
      <c r="A524" s="27" t="s">
        <v>3111</v>
      </c>
      <c r="B524" t="s">
        <v>3112</v>
      </c>
      <c r="D524" t="s">
        <v>1265</v>
      </c>
      <c r="E524" t="s">
        <v>84</v>
      </c>
      <c r="F524">
        <v>88260</v>
      </c>
      <c r="G524" t="s">
        <v>62</v>
      </c>
      <c r="I524">
        <v>456</v>
      </c>
      <c r="J524" t="s">
        <v>63</v>
      </c>
      <c r="K524" t="s">
        <v>4134</v>
      </c>
      <c r="L524" t="s">
        <v>3627</v>
      </c>
      <c r="M524">
        <v>8</v>
      </c>
      <c r="N524" t="s">
        <v>3990</v>
      </c>
      <c r="O524" s="21" t="s">
        <v>3991</v>
      </c>
      <c r="P524" t="s">
        <v>3992</v>
      </c>
      <c r="Q524" t="s">
        <v>3993</v>
      </c>
      <c r="R524" t="s">
        <v>3994</v>
      </c>
      <c r="S524" t="s">
        <v>3772</v>
      </c>
      <c r="T524" t="s">
        <v>3995</v>
      </c>
      <c r="U524" t="s">
        <v>62</v>
      </c>
      <c r="V524">
        <v>9087564000</v>
      </c>
      <c r="W524" s="1">
        <v>1067026</v>
      </c>
      <c r="X524">
        <v>11</v>
      </c>
      <c r="Y524">
        <v>13</v>
      </c>
      <c r="Z524">
        <v>1893</v>
      </c>
      <c r="AA524" t="s">
        <v>163</v>
      </c>
      <c r="AB524" t="s">
        <v>3996</v>
      </c>
      <c r="AC524" t="s">
        <v>98</v>
      </c>
      <c r="AD524" t="s">
        <v>370</v>
      </c>
      <c r="AE524">
        <v>5983</v>
      </c>
      <c r="AF524" t="s">
        <v>371</v>
      </c>
      <c r="AI524">
        <v>59830000</v>
      </c>
      <c r="AJ524" t="s">
        <v>370</v>
      </c>
      <c r="AM524">
        <v>454310</v>
      </c>
      <c r="AN524" t="s">
        <v>193</v>
      </c>
      <c r="AQ524" t="s">
        <v>75</v>
      </c>
      <c r="AR524" t="s">
        <v>3990</v>
      </c>
      <c r="AS524" t="s">
        <v>3991</v>
      </c>
      <c r="AT524" t="s">
        <v>427</v>
      </c>
      <c r="AU524" t="s">
        <v>3777</v>
      </c>
      <c r="AV524" t="s">
        <v>62</v>
      </c>
      <c r="AW524" t="s">
        <v>3990</v>
      </c>
      <c r="AX524" t="s">
        <v>3991</v>
      </c>
      <c r="AY524" t="s">
        <v>3777</v>
      </c>
      <c r="AZ524" t="s">
        <v>62</v>
      </c>
      <c r="BE524" t="s">
        <v>62</v>
      </c>
      <c r="BF524">
        <v>1</v>
      </c>
      <c r="BG524">
        <v>2</v>
      </c>
      <c r="BH524" s="4" t="s">
        <v>3990</v>
      </c>
      <c r="BI524" s="4" t="s">
        <v>3991</v>
      </c>
      <c r="BJ524" s="4" t="s">
        <v>3992</v>
      </c>
      <c r="BK524" s="4" t="s">
        <v>3993</v>
      </c>
      <c r="BL524" s="4" t="s">
        <v>3994</v>
      </c>
      <c r="BM524" s="4" t="s">
        <v>3772</v>
      </c>
      <c r="BN524" s="4" t="s">
        <v>3995</v>
      </c>
      <c r="BO524" s="4" t="s">
        <v>62</v>
      </c>
      <c r="BP524" s="4">
        <v>9087564000</v>
      </c>
      <c r="BQ524" s="5">
        <v>1067026</v>
      </c>
      <c r="BR524" s="4">
        <v>11</v>
      </c>
      <c r="BS524" s="4">
        <v>13</v>
      </c>
      <c r="BT524" s="4">
        <v>1893</v>
      </c>
      <c r="BU524" s="4" t="s">
        <v>163</v>
      </c>
      <c r="BV524" s="4" t="s">
        <v>3996</v>
      </c>
      <c r="BW524" s="4" t="s">
        <v>98</v>
      </c>
      <c r="BX524" s="4" t="s">
        <v>370</v>
      </c>
      <c r="BY524" s="4">
        <v>5983</v>
      </c>
      <c r="BZ524" s="4" t="s">
        <v>371</v>
      </c>
      <c r="CC524" s="4">
        <v>59830000</v>
      </c>
      <c r="CD524" s="4" t="s">
        <v>370</v>
      </c>
      <c r="CG524" s="4">
        <v>454310</v>
      </c>
      <c r="CH524" s="4" t="s">
        <v>193</v>
      </c>
      <c r="CK524"/>
      <c r="CL524"/>
      <c r="CN524" s="35">
        <f>IF($BH524="",1,COUNTIF($BH$3:$BH524,$BH524))</f>
        <v>1</v>
      </c>
      <c r="CO524" s="21" t="s">
        <v>4385</v>
      </c>
      <c r="CP524" t="str">
        <f>IF($K524="Standard Match","Match",IF($K524="Name Only Match",IF($CO524="Yes","Match","Name Only Match"),"No Match"))</f>
        <v>Name Only Match</v>
      </c>
      <c r="CQ524" s="35" t="str">
        <f>IF(AND(CP524="Match",CK524&gt;0,CL524&gt;0),"Y","N")</f>
        <v>N</v>
      </c>
      <c r="CR524" t="s">
        <v>4399</v>
      </c>
      <c r="CS524" t="str">
        <f>IF($CQ524="Y",VLOOKUP($CM524,'SBA Size Standards'!$B$3:$G$57,MATCH('SBA Size Standards'!$G$3,'SBA Size Standards'!$B$3:$G$3,0),FALSE),"")</f>
        <v/>
      </c>
      <c r="CT524" s="60" t="str">
        <f>IF(CQ524="Y",IF($CS524="Employment","N/A",VLOOKUP($CM524,'SBA Size Standards'!$B$3:$G$57,MATCH('SBA Size Standards'!$E$3,'SBA Size Standards'!$B$3:$G$3,0),FALSE)),"")</f>
        <v/>
      </c>
      <c r="CU524" s="86" t="str">
        <f>IF($CQ524="Y",IF($CS524="Revenue","N/A",VLOOKUP($CM524,'SBA Size Standards'!$B$3:$G$57,MATCH('SBA Size Standards'!$F$3,'SBA Size Standards'!$B$3:$G$3,0),FALSE)),"")</f>
        <v/>
      </c>
      <c r="CV524" t="str">
        <f>IF($CQ524="Y",IF(OR(AND($CS524="Employment",$CL524&lt;$CU524),AND($CS524="Revenue",$CK524&lt;$CT524)),"YES","NO"),"")</f>
        <v/>
      </c>
      <c r="CW524" s="90" t="str">
        <f>IF($CQ524="Y",INDEX('SBA Size Standards'!$N$3:$N$12,MATCH($CK524,'SBA Size Standards'!$O$3:$O$12,1)),"")</f>
        <v/>
      </c>
      <c r="CX524" s="122" t="s">
        <v>4997</v>
      </c>
      <c r="CY524" s="122">
        <f>INDEX('NM O&amp;G Production'!$P$3:$P$537,MATCH(CX524,'NM O&amp;G Production'!$Q$3:$Q$537,0))</f>
        <v>456</v>
      </c>
      <c r="CZ524" s="122" t="str">
        <f>INDEX('NM O&amp;G Production'!$O$3:$O$537,MATCH(CY524,'NM O&amp;G Production'!$P$3:$P$537,0))</f>
        <v>Yes</v>
      </c>
      <c r="DA524" s="127">
        <f>INDEX('NM O&amp;G Production'!$K$3:$O$537,MATCH($CY524,'NM O&amp;G Production'!$P$3:$P$537,0),MATCH(DA$2,'NM O&amp;G Production'!$K$2:$O$2,0))</f>
        <v>3</v>
      </c>
      <c r="DB524" s="127">
        <f>INDEX('NM O&amp;G Production'!$K$3:$O$537,MATCH($CY524,'NM O&amp;G Production'!$P$3:$P$537,0),MATCH(DB$2,'NM O&amp;G Production'!$K$2:$O$2,0))</f>
        <v>16</v>
      </c>
      <c r="DC524" s="127"/>
      <c r="DD524" s="127">
        <f>INDEX('NM O&amp;G Production'!$K$3:$O$537,MATCH($CY524,'NM O&amp;G Production'!$P$3:$P$537,0),MATCH(DD$2,'NM O&amp;G Production'!$K$2:$O$2,0))</f>
        <v>18030</v>
      </c>
      <c r="DE524" s="127">
        <f>INDEX('NM O&amp;G Production'!$K$3:$O$537,MATCH($CY524,'NM O&amp;G Production'!$P$3:$P$537,0),MATCH(DE$2,'NM O&amp;G Production'!$K$2:$O$2,0))</f>
        <v>3771</v>
      </c>
      <c r="DF524" s="258">
        <f>CK524/(DB524+DA524)</f>
        <v>0</v>
      </c>
      <c r="DG524" s="57">
        <f>DD524*(12/18)*1.06*'Oil and Gas Prices'!$C$18</f>
        <v>30451.468000000004</v>
      </c>
      <c r="DH524" s="284">
        <f>DE524*(12/18)*'Oil and Gas Prices'!$C$4</f>
        <v>113130</v>
      </c>
      <c r="DI524" s="284">
        <f>DG524+DH524</f>
        <v>143581.46799999999</v>
      </c>
      <c r="DJ524" s="57">
        <f>(DG524+DH524)/(DA524+DB524)</f>
        <v>7556.9193684210522</v>
      </c>
      <c r="DK524" s="18">
        <f>CK524/DI524</f>
        <v>0</v>
      </c>
    </row>
    <row r="525" spans="1:115" x14ac:dyDescent="0.25">
      <c r="A525" s="27" t="s">
        <v>660</v>
      </c>
      <c r="B525" t="s">
        <v>661</v>
      </c>
      <c r="D525" t="s">
        <v>513</v>
      </c>
      <c r="E525" t="s">
        <v>84</v>
      </c>
      <c r="F525">
        <v>88231</v>
      </c>
      <c r="G525" t="s">
        <v>62</v>
      </c>
      <c r="I525">
        <v>81</v>
      </c>
      <c r="J525" t="s">
        <v>63</v>
      </c>
      <c r="K525" t="s">
        <v>4134</v>
      </c>
      <c r="L525" t="s">
        <v>3627</v>
      </c>
      <c r="M525">
        <v>8</v>
      </c>
      <c r="N525" t="s">
        <v>4083</v>
      </c>
      <c r="O525" s="21" t="s">
        <v>4084</v>
      </c>
      <c r="Q525" t="s">
        <v>4085</v>
      </c>
      <c r="R525" t="s">
        <v>88</v>
      </c>
      <c r="S525" t="s">
        <v>94</v>
      </c>
      <c r="T525" t="s">
        <v>4086</v>
      </c>
      <c r="U525" t="s">
        <v>62</v>
      </c>
      <c r="V525">
        <v>8176298404</v>
      </c>
      <c r="W525" s="1">
        <v>2152378</v>
      </c>
      <c r="X525">
        <v>6</v>
      </c>
      <c r="Y525">
        <v>20</v>
      </c>
      <c r="Z525">
        <v>2009</v>
      </c>
      <c r="AA525" t="s">
        <v>163</v>
      </c>
      <c r="AB525" t="s">
        <v>4087</v>
      </c>
      <c r="AC525" t="s">
        <v>145</v>
      </c>
      <c r="AD525" t="s">
        <v>4088</v>
      </c>
      <c r="AE525">
        <v>7349</v>
      </c>
      <c r="AF525" t="s">
        <v>4089</v>
      </c>
      <c r="AI525">
        <v>73490105</v>
      </c>
      <c r="AJ525" t="s">
        <v>4090</v>
      </c>
      <c r="AM525">
        <v>561720</v>
      </c>
      <c r="AN525" t="s">
        <v>4091</v>
      </c>
      <c r="AQ525" t="s">
        <v>75</v>
      </c>
      <c r="AR525" t="s">
        <v>4083</v>
      </c>
      <c r="AS525" t="s">
        <v>4084</v>
      </c>
      <c r="AT525" t="s">
        <v>427</v>
      </c>
      <c r="AU525" t="s">
        <v>80</v>
      </c>
      <c r="AV525" t="s">
        <v>62</v>
      </c>
      <c r="AW525" t="s">
        <v>4083</v>
      </c>
      <c r="AX525" t="s">
        <v>4084</v>
      </c>
      <c r="AY525" t="s">
        <v>80</v>
      </c>
      <c r="AZ525" t="s">
        <v>62</v>
      </c>
      <c r="BE525" t="s">
        <v>62</v>
      </c>
      <c r="BF525">
        <v>1</v>
      </c>
      <c r="BG525">
        <v>3</v>
      </c>
      <c r="BH525" s="4" t="s">
        <v>4083</v>
      </c>
      <c r="BI525" s="4" t="s">
        <v>4084</v>
      </c>
      <c r="BK525" s="4" t="s">
        <v>4085</v>
      </c>
      <c r="BL525" s="4" t="s">
        <v>88</v>
      </c>
      <c r="BM525" s="4" t="s">
        <v>94</v>
      </c>
      <c r="BN525" s="4" t="s">
        <v>4086</v>
      </c>
      <c r="BO525" s="4" t="s">
        <v>62</v>
      </c>
      <c r="BP525" s="4">
        <v>8176298404</v>
      </c>
      <c r="BQ525" s="5">
        <v>2152378</v>
      </c>
      <c r="BR525" s="4">
        <v>6</v>
      </c>
      <c r="BS525" s="4">
        <v>20</v>
      </c>
      <c r="BT525" s="4">
        <v>2009</v>
      </c>
      <c r="BU525" s="4" t="s">
        <v>163</v>
      </c>
      <c r="BV525" s="4" t="s">
        <v>4087</v>
      </c>
      <c r="BW525" s="4" t="s">
        <v>145</v>
      </c>
      <c r="BX525" s="4" t="s">
        <v>4088</v>
      </c>
      <c r="BY525" s="4">
        <v>7349</v>
      </c>
      <c r="BZ525" s="4" t="s">
        <v>4089</v>
      </c>
      <c r="CC525" s="4">
        <v>73490105</v>
      </c>
      <c r="CD525" s="4" t="s">
        <v>4090</v>
      </c>
      <c r="CG525" s="4">
        <v>561720</v>
      </c>
      <c r="CH525" s="4" t="s">
        <v>4091</v>
      </c>
      <c r="CK525"/>
      <c r="CL525"/>
      <c r="CN525" s="35">
        <f>IF($BH525="",1,COUNTIF($BH$3:$BH525,$BH525))</f>
        <v>1</v>
      </c>
      <c r="CO525" s="21" t="s">
        <v>4385</v>
      </c>
      <c r="CP525" t="str">
        <f>IF($K525="Standard Match","Match",IF($K525="Name Only Match",IF($CO525="Yes","Match","Name Only Match"),"No Match"))</f>
        <v>Name Only Match</v>
      </c>
      <c r="CQ525" s="35" t="str">
        <f>IF(AND(CP525="Match",CK525&gt;0,CL525&gt;0),"Y","N")</f>
        <v>N</v>
      </c>
      <c r="CR525" s="21" t="s">
        <v>4383</v>
      </c>
      <c r="CS525" t="str">
        <f>IF($CQ525="Y",VLOOKUP($CM525,'SBA Size Standards'!$B$3:$G$57,MATCH('SBA Size Standards'!$G$3,'SBA Size Standards'!$B$3:$G$3,0),FALSE),"")</f>
        <v/>
      </c>
      <c r="CT525" s="60" t="str">
        <f>IF(CQ525="Y",IF($CS525="Employment","N/A",VLOOKUP($CM525,'SBA Size Standards'!$B$3:$G$57,MATCH('SBA Size Standards'!$E$3,'SBA Size Standards'!$B$3:$G$3,0),FALSE)),"")</f>
        <v/>
      </c>
      <c r="CU525" s="86" t="str">
        <f>IF($CQ525="Y",IF($CS525="Revenue","N/A",VLOOKUP($CM525,'SBA Size Standards'!$B$3:$G$57,MATCH('SBA Size Standards'!$F$3,'SBA Size Standards'!$B$3:$G$3,0),FALSE)),"")</f>
        <v/>
      </c>
      <c r="CV525" t="str">
        <f>IF($CQ525="Y",IF(OR(AND($CS525="Employment",$CL525&lt;$CU525),AND($CS525="Revenue",$CK525&lt;$CT525)),"YES","NO"),"")</f>
        <v/>
      </c>
      <c r="CW525" s="90" t="str">
        <f>IF($CQ525="Y",INDEX('SBA Size Standards'!$N$3:$N$12,MATCH($CK525,'SBA Size Standards'!$O$3:$O$12,1)),"")</f>
        <v/>
      </c>
      <c r="CX525" s="122" t="s">
        <v>4945</v>
      </c>
      <c r="CY525" s="122">
        <f>INDEX('NM O&amp;G Production'!$P$3:$P$537,MATCH(CX525,'NM O&amp;G Production'!$Q$3:$Q$537,0))</f>
        <v>81</v>
      </c>
      <c r="CZ525" s="122" t="str">
        <f>INDEX('NM O&amp;G Production'!$O$3:$O$537,MATCH(CY525,'NM O&amp;G Production'!$P$3:$P$537,0))</f>
        <v>Yes</v>
      </c>
      <c r="DA525" s="127">
        <f>INDEX('NM O&amp;G Production'!$K$3:$O$537,MATCH($CY525,'NM O&amp;G Production'!$P$3:$P$537,0),MATCH(DA$2,'NM O&amp;G Production'!$K$2:$O$2,0))</f>
        <v>0</v>
      </c>
      <c r="DB525" s="127">
        <f>INDEX('NM O&amp;G Production'!$K$3:$O$537,MATCH($CY525,'NM O&amp;G Production'!$P$3:$P$537,0),MATCH(DB$2,'NM O&amp;G Production'!$K$2:$O$2,0))</f>
        <v>1</v>
      </c>
      <c r="DC525" s="127"/>
      <c r="DD525" s="127">
        <f>INDEX('NM O&amp;G Production'!$K$3:$O$537,MATCH($CY525,'NM O&amp;G Production'!$P$3:$P$537,0),MATCH(DD$2,'NM O&amp;G Production'!$K$2:$O$2,0))</f>
        <v>2524</v>
      </c>
      <c r="DE525" s="127">
        <f>INDEX('NM O&amp;G Production'!$K$3:$O$537,MATCH($CY525,'NM O&amp;G Production'!$P$3:$P$537,0),MATCH(DE$2,'NM O&amp;G Production'!$K$2:$O$2,0))</f>
        <v>0</v>
      </c>
      <c r="DF525" s="258">
        <f>CK525/(DB525+DA525)</f>
        <v>0</v>
      </c>
      <c r="DG525" s="57">
        <f>DD525*(12/18)*1.06*'Oil and Gas Prices'!$C$18</f>
        <v>4262.8677333333335</v>
      </c>
      <c r="DH525" s="284">
        <f>DE525*(12/18)*'Oil and Gas Prices'!$C$4</f>
        <v>0</v>
      </c>
      <c r="DI525" s="284">
        <f>DG525+DH525</f>
        <v>4262.8677333333335</v>
      </c>
      <c r="DJ525" s="57">
        <f>(DG525+DH525)/(DA525+DB525)</f>
        <v>4262.8677333333335</v>
      </c>
      <c r="DK525" s="18">
        <f>CK525/DI525</f>
        <v>0</v>
      </c>
    </row>
    <row r="526" spans="1:115" x14ac:dyDescent="0.25">
      <c r="A526" s="27" t="s">
        <v>324</v>
      </c>
      <c r="B526" t="s">
        <v>325</v>
      </c>
      <c r="D526" t="s">
        <v>326</v>
      </c>
      <c r="E526" t="s">
        <v>61</v>
      </c>
      <c r="F526">
        <v>80437</v>
      </c>
      <c r="G526" t="s">
        <v>62</v>
      </c>
      <c r="I526">
        <v>33</v>
      </c>
      <c r="J526" t="s">
        <v>63</v>
      </c>
      <c r="K526" t="s">
        <v>4134</v>
      </c>
      <c r="L526" t="s">
        <v>3627</v>
      </c>
      <c r="M526">
        <v>8</v>
      </c>
      <c r="N526" t="s">
        <v>3753</v>
      </c>
      <c r="O526" s="21" t="s">
        <v>3754</v>
      </c>
      <c r="Q526" t="s">
        <v>3755</v>
      </c>
      <c r="R526" t="s">
        <v>3756</v>
      </c>
      <c r="S526" t="s">
        <v>3539</v>
      </c>
      <c r="T526" t="s">
        <v>3757</v>
      </c>
      <c r="U526" t="s">
        <v>62</v>
      </c>
      <c r="V526">
        <v>3303850516</v>
      </c>
      <c r="W526" s="1">
        <v>40303</v>
      </c>
      <c r="X526">
        <v>1</v>
      </c>
      <c r="Y526">
        <v>1</v>
      </c>
      <c r="Z526">
        <v>2016</v>
      </c>
      <c r="AA526" t="s">
        <v>70</v>
      </c>
      <c r="AB526" t="s">
        <v>3758</v>
      </c>
      <c r="AC526" t="s">
        <v>242</v>
      </c>
      <c r="AD526" t="s">
        <v>3759</v>
      </c>
      <c r="AE526">
        <v>8721</v>
      </c>
      <c r="AF526" t="s">
        <v>3760</v>
      </c>
      <c r="AI526">
        <v>87210101</v>
      </c>
      <c r="AJ526" t="s">
        <v>3761</v>
      </c>
      <c r="AM526">
        <v>541211</v>
      </c>
      <c r="AN526" t="s">
        <v>3762</v>
      </c>
      <c r="AQ526" t="s">
        <v>75</v>
      </c>
      <c r="AT526" t="s">
        <v>76</v>
      </c>
      <c r="BF526">
        <v>0</v>
      </c>
      <c r="BG526">
        <v>0</v>
      </c>
      <c r="CK526"/>
      <c r="CL526"/>
      <c r="CN526" s="35">
        <f>IF($BH526="",1,COUNTIF($BH$3:$BH526,$BH526))</f>
        <v>1</v>
      </c>
      <c r="CO526" s="21" t="s">
        <v>4385</v>
      </c>
      <c r="CP526" t="str">
        <f>IF($K526="Standard Match","Match",IF($K526="Name Only Match",IF($CO526="Yes","Match","Name Only Match"),"No Match"))</f>
        <v>Name Only Match</v>
      </c>
      <c r="CQ526" s="35" t="str">
        <f>IF(AND(CP526="Match",CK526&gt;0,CL526&gt;0),"Y","N")</f>
        <v>N</v>
      </c>
      <c r="CR526" s="21" t="s">
        <v>4383</v>
      </c>
      <c r="CS526" t="str">
        <f>IF($CQ526="Y",VLOOKUP($CM526,'SBA Size Standards'!$B$3:$G$57,MATCH('SBA Size Standards'!$G$3,'SBA Size Standards'!$B$3:$G$3,0),FALSE),"")</f>
        <v/>
      </c>
      <c r="CT526" s="60" t="str">
        <f>IF(CQ526="Y",IF($CS526="Employment","N/A",VLOOKUP($CM526,'SBA Size Standards'!$B$3:$G$57,MATCH('SBA Size Standards'!$E$3,'SBA Size Standards'!$B$3:$G$3,0),FALSE)),"")</f>
        <v/>
      </c>
      <c r="CU526" s="86" t="str">
        <f>IF($CQ526="Y",IF($CS526="Revenue","N/A",VLOOKUP($CM526,'SBA Size Standards'!$B$3:$G$57,MATCH('SBA Size Standards'!$F$3,'SBA Size Standards'!$B$3:$G$3,0),FALSE)),"")</f>
        <v/>
      </c>
      <c r="CV526" t="str">
        <f>IF($CQ526="Y",IF(OR(AND($CS526="Employment",$CL526&lt;$CU526),AND($CS526="Revenue",$CK526&lt;$CT526)),"YES","NO"),"")</f>
        <v/>
      </c>
      <c r="CW526" s="90" t="str">
        <f>IF($CQ526="Y",INDEX('SBA Size Standards'!$N$3:$N$12,MATCH($CK526,'SBA Size Standards'!$O$3:$O$12,1)),"")</f>
        <v/>
      </c>
      <c r="CX526" s="122" t="s">
        <v>4934</v>
      </c>
      <c r="CY526" s="122">
        <f>INDEX('NM O&amp;G Production'!$P$3:$P$537,MATCH(CX526,'NM O&amp;G Production'!$Q$3:$Q$537,0))</f>
        <v>33</v>
      </c>
      <c r="CZ526" s="122" t="str">
        <f>INDEX('NM O&amp;G Production'!$O$3:$O$537,MATCH(CY526,'NM O&amp;G Production'!$P$3:$P$537,0))</f>
        <v>Yes</v>
      </c>
      <c r="DA526" s="127">
        <f>INDEX('NM O&amp;G Production'!$K$3:$O$537,MATCH($CY526,'NM O&amp;G Production'!$P$3:$P$537,0),MATCH(DA$2,'NM O&amp;G Production'!$K$2:$O$2,0))</f>
        <v>1</v>
      </c>
      <c r="DB526" s="127">
        <f>INDEX('NM O&amp;G Production'!$K$3:$O$537,MATCH($CY526,'NM O&amp;G Production'!$P$3:$P$537,0),MATCH(DB$2,'NM O&amp;G Production'!$K$2:$O$2,0))</f>
        <v>3</v>
      </c>
      <c r="DC526" s="127"/>
      <c r="DD526" s="127">
        <f>INDEX('NM O&amp;G Production'!$K$3:$O$537,MATCH($CY526,'NM O&amp;G Production'!$P$3:$P$537,0),MATCH(DD$2,'NM O&amp;G Production'!$K$2:$O$2,0))</f>
        <v>0</v>
      </c>
      <c r="DE526" s="127">
        <f>INDEX('NM O&amp;G Production'!$K$3:$O$537,MATCH($CY526,'NM O&amp;G Production'!$P$3:$P$537,0),MATCH(DE$2,'NM O&amp;G Production'!$K$2:$O$2,0))</f>
        <v>507</v>
      </c>
      <c r="DF526" s="258">
        <f>CK526/(DB526+DA526)</f>
        <v>0</v>
      </c>
      <c r="DG526" s="57">
        <f>DD526*(12/18)*1.06*'Oil and Gas Prices'!$C$18</f>
        <v>0</v>
      </c>
      <c r="DH526" s="284">
        <f>DE526*(12/18)*'Oil and Gas Prices'!$C$4</f>
        <v>15210</v>
      </c>
      <c r="DI526" s="284">
        <f>DG526+DH526</f>
        <v>15210</v>
      </c>
      <c r="DJ526" s="57">
        <f>(DG526+DH526)/(DA526+DB526)</f>
        <v>3802.5</v>
      </c>
      <c r="DK526" s="18">
        <f>CK526/DI526</f>
        <v>0</v>
      </c>
    </row>
    <row r="527" spans="1:115" x14ac:dyDescent="0.25">
      <c r="A527" t="s">
        <v>1688</v>
      </c>
      <c r="B527" t="s">
        <v>343</v>
      </c>
      <c r="D527" t="s">
        <v>1689</v>
      </c>
      <c r="E527" t="s">
        <v>1690</v>
      </c>
      <c r="F527" t="s">
        <v>1691</v>
      </c>
      <c r="G527" t="s">
        <v>62</v>
      </c>
      <c r="I527">
        <v>231</v>
      </c>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c r="CL527"/>
      <c r="CM527" s="21"/>
      <c r="CN527" s="61">
        <f>IF($BH527="",1,COUNTIF($BH$3:$BH527,$BH527))</f>
        <v>1</v>
      </c>
      <c r="CP527" t="str">
        <f>IF($K527="Standard Match","Match",IF($K527="Name Only Match",IF($CO527="Yes","Match","Name Only Match"),"No Match"))</f>
        <v>No Match</v>
      </c>
      <c r="CQ527" s="35" t="str">
        <f>IF(AND(CP527="Match",CK527&gt;0,CL527&gt;0),"Y","N")</f>
        <v>N</v>
      </c>
      <c r="CS527" t="str">
        <f>IF($CQ527="Y",VLOOKUP($CM527,'SBA Size Standards'!$B$3:$G$57,MATCH('SBA Size Standards'!$G$3,'SBA Size Standards'!$B$3:$G$3,0),FALSE),"")</f>
        <v/>
      </c>
      <c r="CT527" s="60" t="str">
        <f>IF(CQ527="Y",IF($CS527="Employment","N/A",VLOOKUP($CM527,'SBA Size Standards'!$B$3:$G$57,MATCH('SBA Size Standards'!$E$3,'SBA Size Standards'!$B$3:$G$3,0),FALSE)),"")</f>
        <v/>
      </c>
      <c r="CU527" s="86" t="str">
        <f>IF($CQ527="Y",IF($CS527="Revenue","N/A",VLOOKUP($CM527,'SBA Size Standards'!$B$3:$G$57,MATCH('SBA Size Standards'!$F$3,'SBA Size Standards'!$B$3:$G$3,0),FALSE)),"")</f>
        <v/>
      </c>
      <c r="CV527" t="str">
        <f>IF($CQ527="Y",IF(OR(AND($CS527="Employment",$CL527&lt;$CU527),AND($CS527="Revenue",$CK527&lt;$CT527)),"YES","NO"),"")</f>
        <v/>
      </c>
      <c r="CW527" s="90" t="str">
        <f>IF($CQ527="Y",INDEX('SBA Size Standards'!$N$3:$N$12,MATCH($CK527,'SBA Size Standards'!$O$3:$O$12,1)),"")</f>
        <v/>
      </c>
      <c r="CX527" s="122" t="s">
        <v>5027</v>
      </c>
      <c r="CY527" s="122">
        <f>INDEX('NM O&amp;G Production'!$P$3:$P$537,MATCH(CX527,'NM O&amp;G Production'!$Q$3:$Q$537,0))</f>
        <v>231</v>
      </c>
      <c r="CZ527" s="122" t="str">
        <f>INDEX('NM O&amp;G Production'!$O$3:$O$537,MATCH(CY527,'NM O&amp;G Production'!$P$3:$P$537,0))</f>
        <v>Yes</v>
      </c>
      <c r="DA527" s="127">
        <f>INDEX('NM O&amp;G Production'!$K$3:$O$537,MATCH($CY527,'NM O&amp;G Production'!$P$3:$P$537,0),MATCH(DA$2,'NM O&amp;G Production'!$K$2:$O$2,0))</f>
        <v>0</v>
      </c>
      <c r="DB527" s="127">
        <f>INDEX('NM O&amp;G Production'!$K$3:$O$537,MATCH($CY527,'NM O&amp;G Production'!$P$3:$P$537,0),MATCH(DB$2,'NM O&amp;G Production'!$K$2:$O$2,0))</f>
        <v>1</v>
      </c>
      <c r="DC527" s="127"/>
      <c r="DD527" s="127">
        <f>INDEX('NM O&amp;G Production'!$K$3:$O$537,MATCH($CY527,'NM O&amp;G Production'!$P$3:$P$537,0),MATCH(DD$2,'NM O&amp;G Production'!$K$2:$O$2,0))</f>
        <v>0</v>
      </c>
      <c r="DE527" s="127">
        <f>INDEX('NM O&amp;G Production'!$K$3:$O$537,MATCH($CY527,'NM O&amp;G Production'!$P$3:$P$537,0),MATCH(DE$2,'NM O&amp;G Production'!$K$2:$O$2,0))</f>
        <v>15</v>
      </c>
      <c r="DF527" s="258">
        <f>CK527/(DB527+DA527)</f>
        <v>0</v>
      </c>
      <c r="DG527" s="57">
        <f>DD527*(12/18)*1.06*'Oil and Gas Prices'!$C$18</f>
        <v>0</v>
      </c>
      <c r="DH527" s="284">
        <f>DE527*(12/18)*'Oil and Gas Prices'!$C$4</f>
        <v>450</v>
      </c>
      <c r="DI527" s="284">
        <f>DG527+DH527</f>
        <v>450</v>
      </c>
      <c r="DJ527" s="57">
        <f>(DG527+DH527)/(DA527+DB527)</f>
        <v>450</v>
      </c>
      <c r="DK527" s="18">
        <f>CK527/DI527</f>
        <v>0</v>
      </c>
    </row>
    <row r="528" spans="1:115" x14ac:dyDescent="0.25">
      <c r="A528" s="27" t="s">
        <v>289</v>
      </c>
      <c r="B528" t="s">
        <v>290</v>
      </c>
      <c r="D528" t="s">
        <v>291</v>
      </c>
      <c r="E528" t="s">
        <v>84</v>
      </c>
      <c r="F528">
        <v>88114</v>
      </c>
      <c r="G528" t="s">
        <v>62</v>
      </c>
      <c r="I528">
        <v>27</v>
      </c>
      <c r="J528" t="s">
        <v>63</v>
      </c>
      <c r="K528" t="s">
        <v>4134</v>
      </c>
      <c r="L528" t="s">
        <v>3627</v>
      </c>
      <c r="M528">
        <v>8</v>
      </c>
      <c r="N528" t="s">
        <v>4077</v>
      </c>
      <c r="O528" s="21" t="s">
        <v>4078</v>
      </c>
      <c r="Q528" t="s">
        <v>4079</v>
      </c>
      <c r="R528" t="s">
        <v>4080</v>
      </c>
      <c r="S528" t="s">
        <v>2112</v>
      </c>
      <c r="T528" t="s">
        <v>4081</v>
      </c>
      <c r="U528" t="s">
        <v>62</v>
      </c>
      <c r="W528" s="1">
        <v>103396</v>
      </c>
      <c r="X528">
        <v>2</v>
      </c>
      <c r="Y528">
        <v>2</v>
      </c>
      <c r="Z528">
        <v>2010</v>
      </c>
      <c r="AA528" t="s">
        <v>70</v>
      </c>
      <c r="AB528" t="s">
        <v>4082</v>
      </c>
      <c r="AC528" t="s">
        <v>231</v>
      </c>
      <c r="AD528" t="s">
        <v>1300</v>
      </c>
      <c r="AE528">
        <v>7389</v>
      </c>
      <c r="AF528" t="s">
        <v>1301</v>
      </c>
      <c r="AI528">
        <v>73899999</v>
      </c>
      <c r="AJ528" t="s">
        <v>1935</v>
      </c>
      <c r="AM528">
        <v>561990</v>
      </c>
      <c r="AN528" t="s">
        <v>1936</v>
      </c>
      <c r="AQ528" t="s">
        <v>75</v>
      </c>
      <c r="AT528" t="s">
        <v>76</v>
      </c>
      <c r="BF528">
        <v>0</v>
      </c>
      <c r="BG528">
        <v>0</v>
      </c>
      <c r="CK528"/>
      <c r="CL528"/>
      <c r="CN528" s="35">
        <f>IF($BH528="",1,COUNTIF($BH$3:$BH528,$BH528))</f>
        <v>1</v>
      </c>
      <c r="CO528" s="21" t="s">
        <v>4385</v>
      </c>
      <c r="CP528" t="str">
        <f>IF($K528="Standard Match","Match",IF($K528="Name Only Match",IF($CO528="Yes","Match","Name Only Match"),"No Match"))</f>
        <v>Name Only Match</v>
      </c>
      <c r="CQ528" s="35" t="str">
        <f>IF(AND(CP528="Match",CK528&gt;0,CL528&gt;0),"Y","N")</f>
        <v>N</v>
      </c>
      <c r="CR528" s="21" t="s">
        <v>4383</v>
      </c>
      <c r="CS528" t="str">
        <f>IF($CQ528="Y",VLOOKUP($CM528,'SBA Size Standards'!$B$3:$G$57,MATCH('SBA Size Standards'!$G$3,'SBA Size Standards'!$B$3:$G$3,0),FALSE),"")</f>
        <v/>
      </c>
      <c r="CT528" s="60" t="str">
        <f>IF(CQ528="Y",IF($CS528="Employment","N/A",VLOOKUP($CM528,'SBA Size Standards'!$B$3:$G$57,MATCH('SBA Size Standards'!$E$3,'SBA Size Standards'!$B$3:$G$3,0),FALSE)),"")</f>
        <v/>
      </c>
      <c r="CU528" s="86" t="str">
        <f>IF($CQ528="Y",IF($CS528="Revenue","N/A",VLOOKUP($CM528,'SBA Size Standards'!$B$3:$G$57,MATCH('SBA Size Standards'!$F$3,'SBA Size Standards'!$B$3:$G$3,0),FALSE)),"")</f>
        <v/>
      </c>
      <c r="CV528" t="str">
        <f>IF($CQ528="Y",IF(OR(AND($CS528="Employment",$CL528&lt;$CU528),AND($CS528="Revenue",$CK528&lt;$CT528)),"YES","NO"),"")</f>
        <v/>
      </c>
      <c r="CW528" s="90" t="str">
        <f>IF($CQ528="Y",INDEX('SBA Size Standards'!$N$3:$N$12,MATCH($CK528,'SBA Size Standards'!$O$3:$O$12,1)),"")</f>
        <v/>
      </c>
      <c r="CX528" s="122" t="s">
        <v>4933</v>
      </c>
      <c r="CY528" s="122">
        <f>INDEX('NM O&amp;G Production'!$P$3:$P$537,MATCH(CX528,'NM O&amp;G Production'!$Q$3:$Q$537,0))</f>
        <v>27</v>
      </c>
      <c r="CZ528" s="122" t="str">
        <f>INDEX('NM O&amp;G Production'!$O$3:$O$537,MATCH(CY528,'NM O&amp;G Production'!$P$3:$P$537,0))</f>
        <v>Yes</v>
      </c>
      <c r="DA528" s="127">
        <f>INDEX('NM O&amp;G Production'!$K$3:$O$537,MATCH($CY528,'NM O&amp;G Production'!$P$3:$P$537,0),MATCH(DA$2,'NM O&amp;G Production'!$K$2:$O$2,0))</f>
        <v>2</v>
      </c>
      <c r="DB528" s="127">
        <f>INDEX('NM O&amp;G Production'!$K$3:$O$537,MATCH($CY528,'NM O&amp;G Production'!$P$3:$P$537,0),MATCH(DB$2,'NM O&amp;G Production'!$K$2:$O$2,0))</f>
        <v>4</v>
      </c>
      <c r="DC528" s="127"/>
      <c r="DD528" s="127">
        <f>INDEX('NM O&amp;G Production'!$K$3:$O$537,MATCH($CY528,'NM O&amp;G Production'!$P$3:$P$537,0),MATCH(DD$2,'NM O&amp;G Production'!$K$2:$O$2,0))</f>
        <v>0</v>
      </c>
      <c r="DE528" s="127">
        <f>INDEX('NM O&amp;G Production'!$K$3:$O$537,MATCH($CY528,'NM O&amp;G Production'!$P$3:$P$537,0),MATCH(DE$2,'NM O&amp;G Production'!$K$2:$O$2,0))</f>
        <v>619</v>
      </c>
      <c r="DF528" s="258">
        <f>CK528/(DB528+DA528)</f>
        <v>0</v>
      </c>
      <c r="DG528" s="57">
        <f>DD528*(12/18)*1.06*'Oil and Gas Prices'!$C$18</f>
        <v>0</v>
      </c>
      <c r="DH528" s="284">
        <f>DE528*(12/18)*'Oil and Gas Prices'!$C$4</f>
        <v>18570</v>
      </c>
      <c r="DI528" s="284">
        <f>DG528+DH528</f>
        <v>18570</v>
      </c>
      <c r="DJ528" s="57">
        <f>(DG528+DH528)/(DA528+DB528)</f>
        <v>3095</v>
      </c>
      <c r="DK528" s="18">
        <f>CK528/DI528</f>
        <v>0</v>
      </c>
    </row>
    <row r="529" spans="1:115" x14ac:dyDescent="0.25">
      <c r="A529" t="s">
        <v>1398</v>
      </c>
      <c r="B529" t="s">
        <v>477</v>
      </c>
      <c r="D529" t="s">
        <v>83</v>
      </c>
      <c r="E529" t="s">
        <v>84</v>
      </c>
      <c r="F529">
        <v>88211</v>
      </c>
      <c r="G529" t="s">
        <v>62</v>
      </c>
      <c r="I529">
        <v>186</v>
      </c>
      <c r="O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c r="CL529"/>
      <c r="CM529" s="21"/>
      <c r="CN529" s="61">
        <f>IF($BH529="",1,COUNTIF($BH$3:$BH529,$BH529))</f>
        <v>1</v>
      </c>
      <c r="CP529" t="str">
        <f>IF($K529="Standard Match","Match",IF($K529="Name Only Match",IF($CO529="Yes","Match","Name Only Match"),"No Match"))</f>
        <v>No Match</v>
      </c>
      <c r="CQ529" s="35" t="str">
        <f>IF(AND(CP529="Match",CK529&gt;0,CL529&gt;0),"Y","N")</f>
        <v>N</v>
      </c>
      <c r="CS529" t="str">
        <f>IF($CQ529="Y",VLOOKUP($CM529,'SBA Size Standards'!$B$3:$G$57,MATCH('SBA Size Standards'!$G$3,'SBA Size Standards'!$B$3:$G$3,0),FALSE),"")</f>
        <v/>
      </c>
      <c r="CT529" s="60" t="str">
        <f>IF(CQ529="Y",IF($CS529="Employment","N/A",VLOOKUP($CM529,'SBA Size Standards'!$B$3:$G$57,MATCH('SBA Size Standards'!$E$3,'SBA Size Standards'!$B$3:$G$3,0),FALSE)),"")</f>
        <v/>
      </c>
      <c r="CU529" s="86" t="str">
        <f>IF($CQ529="Y",IF($CS529="Revenue","N/A",VLOOKUP($CM529,'SBA Size Standards'!$B$3:$G$57,MATCH('SBA Size Standards'!$F$3,'SBA Size Standards'!$B$3:$G$3,0),FALSE)),"")</f>
        <v/>
      </c>
      <c r="CV529" t="str">
        <f>IF($CQ529="Y",IF(OR(AND($CS529="Employment",$CL529&lt;$CU529),AND($CS529="Revenue",$CK529&lt;$CT529)),"YES","NO"),"")</f>
        <v/>
      </c>
      <c r="CW529" s="90" t="str">
        <f>IF($CQ529="Y",INDEX('SBA Size Standards'!$N$3:$N$12,MATCH($CK529,'SBA Size Standards'!$O$3:$O$12,1)),"")</f>
        <v/>
      </c>
      <c r="CX529" s="122" t="s">
        <v>5021</v>
      </c>
      <c r="CY529" s="122">
        <f>INDEX('NM O&amp;G Production'!$P$3:$P$537,MATCH(CX529,'NM O&amp;G Production'!$Q$3:$Q$537,0))</f>
        <v>186</v>
      </c>
      <c r="CZ529" s="122" t="str">
        <f>INDEX('NM O&amp;G Production'!$O$3:$O$537,MATCH(CY529,'NM O&amp;G Production'!$P$3:$P$537,0))</f>
        <v>Yes</v>
      </c>
      <c r="DA529" s="127">
        <f>INDEX('NM O&amp;G Production'!$K$3:$O$537,MATCH($CY529,'NM O&amp;G Production'!$P$3:$P$537,0),MATCH(DA$2,'NM O&amp;G Production'!$K$2:$O$2,0))</f>
        <v>0</v>
      </c>
      <c r="DB529" s="127">
        <f>INDEX('NM O&amp;G Production'!$K$3:$O$537,MATCH($CY529,'NM O&amp;G Production'!$P$3:$P$537,0),MATCH(DB$2,'NM O&amp;G Production'!$K$2:$O$2,0))</f>
        <v>1</v>
      </c>
      <c r="DC529" s="127"/>
      <c r="DD529" s="127">
        <f>INDEX('NM O&amp;G Production'!$K$3:$O$537,MATCH($CY529,'NM O&amp;G Production'!$P$3:$P$537,0),MATCH(DD$2,'NM O&amp;G Production'!$K$2:$O$2,0))</f>
        <v>0</v>
      </c>
      <c r="DE529" s="127">
        <f>INDEX('NM O&amp;G Production'!$K$3:$O$537,MATCH($CY529,'NM O&amp;G Production'!$P$3:$P$537,0),MATCH(DE$2,'NM O&amp;G Production'!$K$2:$O$2,0))</f>
        <v>14</v>
      </c>
      <c r="DF529" s="258">
        <f>CK529/(DB529+DA529)</f>
        <v>0</v>
      </c>
      <c r="DG529" s="57">
        <f>DD529*(12/18)*1.06*'Oil and Gas Prices'!$C$18</f>
        <v>0</v>
      </c>
      <c r="DH529" s="284">
        <f>DE529*(12/18)*'Oil and Gas Prices'!$C$4</f>
        <v>419.99999999999994</v>
      </c>
      <c r="DI529" s="284">
        <f>DG529+DH529</f>
        <v>419.99999999999994</v>
      </c>
      <c r="DJ529" s="57">
        <f>(DG529+DH529)/(DA529+DB529)</f>
        <v>419.99999999999994</v>
      </c>
      <c r="DK529" s="18">
        <f>CK529/DI529</f>
        <v>0</v>
      </c>
    </row>
    <row r="530" spans="1:115" x14ac:dyDescent="0.25">
      <c r="A530" s="27" t="s">
        <v>2795</v>
      </c>
      <c r="B530" t="s">
        <v>2796</v>
      </c>
      <c r="D530" t="s">
        <v>209</v>
      </c>
      <c r="E530" t="s">
        <v>84</v>
      </c>
      <c r="F530">
        <v>88202</v>
      </c>
      <c r="G530" t="s">
        <v>62</v>
      </c>
      <c r="I530">
        <v>405</v>
      </c>
      <c r="J530" t="s">
        <v>63</v>
      </c>
      <c r="K530" t="s">
        <v>4134</v>
      </c>
      <c r="L530" t="s">
        <v>3627</v>
      </c>
      <c r="M530">
        <v>8</v>
      </c>
      <c r="N530" t="s">
        <v>3958</v>
      </c>
      <c r="O530" s="21" t="s">
        <v>3959</v>
      </c>
      <c r="Q530" t="s">
        <v>3960</v>
      </c>
      <c r="R530" t="s">
        <v>3961</v>
      </c>
      <c r="S530" t="s">
        <v>3962</v>
      </c>
      <c r="T530" t="s">
        <v>3963</v>
      </c>
      <c r="U530" t="s">
        <v>62</v>
      </c>
      <c r="V530">
        <v>4347975634</v>
      </c>
      <c r="W530" s="1">
        <v>250000</v>
      </c>
      <c r="X530">
        <v>1</v>
      </c>
      <c r="Y530">
        <v>1</v>
      </c>
      <c r="Z530">
        <v>1997</v>
      </c>
      <c r="AA530" t="s">
        <v>70</v>
      </c>
      <c r="AB530" t="s">
        <v>3964</v>
      </c>
      <c r="AC530" t="s">
        <v>483</v>
      </c>
      <c r="AD530" t="s">
        <v>3965</v>
      </c>
      <c r="AE530">
        <v>6411</v>
      </c>
      <c r="AF530" t="s">
        <v>3966</v>
      </c>
      <c r="AI530">
        <v>64110302</v>
      </c>
      <c r="AJ530" t="s">
        <v>3967</v>
      </c>
      <c r="AM530">
        <v>524210</v>
      </c>
      <c r="AN530" t="s">
        <v>3968</v>
      </c>
      <c r="AQ530" t="s">
        <v>75</v>
      </c>
      <c r="AT530" t="s">
        <v>76</v>
      </c>
      <c r="BF530">
        <v>0</v>
      </c>
      <c r="BG530">
        <v>0</v>
      </c>
      <c r="CK530"/>
      <c r="CL530"/>
      <c r="CN530" s="35">
        <f>IF($BH530="",1,COUNTIF($BH$3:$BH530,$BH530))</f>
        <v>1</v>
      </c>
      <c r="CO530" s="21" t="s">
        <v>4385</v>
      </c>
      <c r="CP530" t="str">
        <f>IF($K530="Standard Match","Match",IF($K530="Name Only Match",IF($CO530="Yes","Match","Name Only Match"),"No Match"))</f>
        <v>Name Only Match</v>
      </c>
      <c r="CQ530" s="35" t="str">
        <f>IF(AND(CP530="Match",CK530&gt;0,CL530&gt;0),"Y","N")</f>
        <v>N</v>
      </c>
      <c r="CR530" t="s">
        <v>4398</v>
      </c>
      <c r="CS530" t="str">
        <f>IF($CQ530="Y",VLOOKUP($CM530,'SBA Size Standards'!$B$3:$G$57,MATCH('SBA Size Standards'!$G$3,'SBA Size Standards'!$B$3:$G$3,0),FALSE),"")</f>
        <v/>
      </c>
      <c r="CT530" s="60" t="str">
        <f>IF(CQ530="Y",IF($CS530="Employment","N/A",VLOOKUP($CM530,'SBA Size Standards'!$B$3:$G$57,MATCH('SBA Size Standards'!$E$3,'SBA Size Standards'!$B$3:$G$3,0),FALSE)),"")</f>
        <v/>
      </c>
      <c r="CU530" s="86" t="str">
        <f>IF($CQ530="Y",IF($CS530="Revenue","N/A",VLOOKUP($CM530,'SBA Size Standards'!$B$3:$G$57,MATCH('SBA Size Standards'!$F$3,'SBA Size Standards'!$B$3:$G$3,0),FALSE)),"")</f>
        <v/>
      </c>
      <c r="CV530" t="str">
        <f>IF($CQ530="Y",IF(OR(AND($CS530="Employment",$CL530&lt;$CU530),AND($CS530="Revenue",$CK530&lt;$CT530)),"YES","NO"),"")</f>
        <v/>
      </c>
      <c r="CW530" s="90" t="str">
        <f>IF($CQ530="Y",INDEX('SBA Size Standards'!$N$3:$N$12,MATCH($CK530,'SBA Size Standards'!$O$3:$O$12,1)),"")</f>
        <v/>
      </c>
      <c r="CX530" s="122" t="s">
        <v>4992</v>
      </c>
      <c r="CY530" s="122">
        <f>INDEX('NM O&amp;G Production'!$P$3:$P$537,MATCH(CX530,'NM O&amp;G Production'!$Q$3:$Q$537,0))</f>
        <v>405</v>
      </c>
      <c r="CZ530" s="122" t="str">
        <f>INDEX('NM O&amp;G Production'!$O$3:$O$537,MATCH(CY530,'NM O&amp;G Production'!$P$3:$P$537,0))</f>
        <v>Yes</v>
      </c>
      <c r="DA530" s="127">
        <f>INDEX('NM O&amp;G Production'!$K$3:$O$537,MATCH($CY530,'NM O&amp;G Production'!$P$3:$P$537,0),MATCH(DA$2,'NM O&amp;G Production'!$K$2:$O$2,0))</f>
        <v>0</v>
      </c>
      <c r="DB530" s="127">
        <f>INDEX('NM O&amp;G Production'!$K$3:$O$537,MATCH($CY530,'NM O&amp;G Production'!$P$3:$P$537,0),MATCH(DB$2,'NM O&amp;G Production'!$K$2:$O$2,0))</f>
        <v>18</v>
      </c>
      <c r="DC530" s="127"/>
      <c r="DD530" s="127">
        <f>INDEX('NM O&amp;G Production'!$K$3:$O$537,MATCH($CY530,'NM O&amp;G Production'!$P$3:$P$537,0),MATCH(DD$2,'NM O&amp;G Production'!$K$2:$O$2,0))</f>
        <v>0</v>
      </c>
      <c r="DE530" s="127">
        <f>INDEX('NM O&amp;G Production'!$K$3:$O$537,MATCH($CY530,'NM O&amp;G Production'!$P$3:$P$537,0),MATCH(DE$2,'NM O&amp;G Production'!$K$2:$O$2,0))</f>
        <v>1490</v>
      </c>
      <c r="DF530" s="258">
        <f>CK530/(DB530+DA530)</f>
        <v>0</v>
      </c>
      <c r="DG530" s="57">
        <f>DD530*(12/18)*1.06*'Oil and Gas Prices'!$C$18</f>
        <v>0</v>
      </c>
      <c r="DH530" s="284">
        <f>DE530*(12/18)*'Oil and Gas Prices'!$C$4</f>
        <v>44700</v>
      </c>
      <c r="DI530" s="284">
        <f>DG530+DH530</f>
        <v>44700</v>
      </c>
      <c r="DJ530" s="57">
        <f>(DG530+DH530)/(DA530+DB530)</f>
        <v>2483.3333333333335</v>
      </c>
      <c r="DK530" s="18">
        <f>CK530/DI530</f>
        <v>0</v>
      </c>
    </row>
    <row r="531" spans="1:115" x14ac:dyDescent="0.25">
      <c r="A531" t="s">
        <v>2514</v>
      </c>
      <c r="B531" t="s">
        <v>2515</v>
      </c>
      <c r="D531" t="s">
        <v>153</v>
      </c>
      <c r="E531" t="s">
        <v>80</v>
      </c>
      <c r="F531">
        <v>79703</v>
      </c>
      <c r="G531" t="s">
        <v>62</v>
      </c>
      <c r="I531">
        <v>362</v>
      </c>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c r="CL531"/>
      <c r="CM531" s="21"/>
      <c r="CN531" s="61">
        <f>IF($BH531="",1,COUNTIF($BH$3:$BH531,$BH531))</f>
        <v>1</v>
      </c>
      <c r="CP531" t="str">
        <f>IF($K531="Standard Match","Match",IF($K531="Name Only Match",IF($CO531="Yes","Match","Name Only Match"),"No Match"))</f>
        <v>No Match</v>
      </c>
      <c r="CQ531" s="35" t="str">
        <f>IF(AND(CP531="Match",CK531&gt;0,CL531&gt;0),"Y","N")</f>
        <v>N</v>
      </c>
      <c r="CS531" t="str">
        <f>IF($CQ531="Y",VLOOKUP($CM531,'SBA Size Standards'!$B$3:$G$57,MATCH('SBA Size Standards'!$G$3,'SBA Size Standards'!$B$3:$G$3,0),FALSE),"")</f>
        <v/>
      </c>
      <c r="CT531" s="60" t="str">
        <f>IF(CQ531="Y",IF($CS531="Employment","N/A",VLOOKUP($CM531,'SBA Size Standards'!$B$3:$G$57,MATCH('SBA Size Standards'!$E$3,'SBA Size Standards'!$B$3:$G$3,0),FALSE)),"")</f>
        <v/>
      </c>
      <c r="CU531" s="86" t="str">
        <f>IF($CQ531="Y",IF($CS531="Revenue","N/A",VLOOKUP($CM531,'SBA Size Standards'!$B$3:$G$57,MATCH('SBA Size Standards'!$F$3,'SBA Size Standards'!$B$3:$G$3,0),FALSE)),"")</f>
        <v/>
      </c>
      <c r="CV531" t="str">
        <f>IF($CQ531="Y",IF(OR(AND($CS531="Employment",$CL531&lt;$CU531),AND($CS531="Revenue",$CK531&lt;$CT531)),"YES","NO"),"")</f>
        <v/>
      </c>
      <c r="CW531" s="90" t="str">
        <f>IF($CQ531="Y",INDEX('SBA Size Standards'!$N$3:$N$12,MATCH($CK531,'SBA Size Standards'!$O$3:$O$12,1)),"")</f>
        <v/>
      </c>
      <c r="CX531" s="122" t="s">
        <v>5042</v>
      </c>
      <c r="CY531" s="122">
        <f>INDEX('NM O&amp;G Production'!$P$3:$P$537,MATCH(CX531,'NM O&amp;G Production'!$Q$3:$Q$537,0))</f>
        <v>362</v>
      </c>
      <c r="CZ531" s="122" t="str">
        <f>INDEX('NM O&amp;G Production'!$O$3:$O$537,MATCH(CY531,'NM O&amp;G Production'!$P$3:$P$537,0))</f>
        <v>Yes</v>
      </c>
      <c r="DA531" s="127">
        <f>INDEX('NM O&amp;G Production'!$K$3:$O$537,MATCH($CY531,'NM O&amp;G Production'!$P$3:$P$537,0),MATCH(DA$2,'NM O&amp;G Production'!$K$2:$O$2,0))</f>
        <v>0</v>
      </c>
      <c r="DB531" s="127">
        <f>INDEX('NM O&amp;G Production'!$K$3:$O$537,MATCH($CY531,'NM O&amp;G Production'!$P$3:$P$537,0),MATCH(DB$2,'NM O&amp;G Production'!$K$2:$O$2,0))</f>
        <v>1</v>
      </c>
      <c r="DC531" s="127"/>
      <c r="DD531" s="127">
        <f>INDEX('NM O&amp;G Production'!$K$3:$O$537,MATCH($CY531,'NM O&amp;G Production'!$P$3:$P$537,0),MATCH(DD$2,'NM O&amp;G Production'!$K$2:$O$2,0))</f>
        <v>181</v>
      </c>
      <c r="DE531" s="127">
        <f>INDEX('NM O&amp;G Production'!$K$3:$O$537,MATCH($CY531,'NM O&amp;G Production'!$P$3:$P$537,0),MATCH(DE$2,'NM O&amp;G Production'!$K$2:$O$2,0))</f>
        <v>0</v>
      </c>
      <c r="DF531" s="258">
        <f>CK531/(DB531+DA531)</f>
        <v>0</v>
      </c>
      <c r="DG531" s="57">
        <f>DD531*(12/18)*1.06*'Oil and Gas Prices'!$C$18</f>
        <v>305.69693333333333</v>
      </c>
      <c r="DH531" s="284">
        <f>DE531*(12/18)*'Oil and Gas Prices'!$C$4</f>
        <v>0</v>
      </c>
      <c r="DI531" s="284">
        <f>DG531+DH531</f>
        <v>305.69693333333333</v>
      </c>
      <c r="DJ531" s="57">
        <f>(DG531+DH531)/(DA531+DB531)</f>
        <v>305.69693333333333</v>
      </c>
      <c r="DK531" s="18">
        <f>CK531/DI531</f>
        <v>0</v>
      </c>
    </row>
    <row r="532" spans="1:115" x14ac:dyDescent="0.25">
      <c r="A532" s="27" t="s">
        <v>2695</v>
      </c>
      <c r="B532" t="s">
        <v>2696</v>
      </c>
      <c r="D532" t="s">
        <v>206</v>
      </c>
      <c r="E532" t="s">
        <v>84</v>
      </c>
      <c r="F532">
        <v>88240</v>
      </c>
      <c r="G532" t="s">
        <v>62</v>
      </c>
      <c r="I532">
        <v>389</v>
      </c>
      <c r="J532" t="s">
        <v>63</v>
      </c>
      <c r="K532" t="s">
        <v>4134</v>
      </c>
      <c r="L532" t="s">
        <v>3627</v>
      </c>
      <c r="M532">
        <v>8</v>
      </c>
      <c r="N532" t="s">
        <v>3947</v>
      </c>
      <c r="O532" s="21" t="s">
        <v>3948</v>
      </c>
      <c r="Q532" t="s">
        <v>3949</v>
      </c>
      <c r="R532" t="s">
        <v>3950</v>
      </c>
      <c r="S532" t="s">
        <v>3951</v>
      </c>
      <c r="T532" t="s">
        <v>3952</v>
      </c>
      <c r="U532" t="s">
        <v>62</v>
      </c>
      <c r="V532">
        <v>2607484200</v>
      </c>
      <c r="W532" s="1">
        <v>189752</v>
      </c>
      <c r="X532">
        <v>4</v>
      </c>
      <c r="Y532">
        <v>4</v>
      </c>
      <c r="Z532">
        <v>1997</v>
      </c>
      <c r="AA532" t="s">
        <v>163</v>
      </c>
      <c r="AB532" t="s">
        <v>3953</v>
      </c>
      <c r="AC532" t="s">
        <v>98</v>
      </c>
      <c r="AD532" t="s">
        <v>3954</v>
      </c>
      <c r="AE532">
        <v>5812</v>
      </c>
      <c r="AF532" t="s">
        <v>3955</v>
      </c>
      <c r="AI532">
        <v>58120000</v>
      </c>
      <c r="AJ532" t="s">
        <v>3954</v>
      </c>
      <c r="AM532">
        <v>722511</v>
      </c>
      <c r="AN532" t="s">
        <v>3956</v>
      </c>
      <c r="AQ532" t="s">
        <v>75</v>
      </c>
      <c r="AR532" t="s">
        <v>3947</v>
      </c>
      <c r="AS532" t="s">
        <v>3948</v>
      </c>
      <c r="AT532" t="s">
        <v>427</v>
      </c>
      <c r="AU532" t="s">
        <v>3957</v>
      </c>
      <c r="AV532" t="s">
        <v>62</v>
      </c>
      <c r="AW532" t="s">
        <v>3947</v>
      </c>
      <c r="AX532" t="s">
        <v>3948</v>
      </c>
      <c r="AY532" t="s">
        <v>3957</v>
      </c>
      <c r="AZ532" t="s">
        <v>62</v>
      </c>
      <c r="BE532" t="s">
        <v>62</v>
      </c>
      <c r="BF532">
        <v>1</v>
      </c>
      <c r="BG532">
        <v>2</v>
      </c>
      <c r="BH532" s="4" t="s">
        <v>3947</v>
      </c>
      <c r="BI532" s="4" t="s">
        <v>3948</v>
      </c>
      <c r="BK532" s="4" t="s">
        <v>3949</v>
      </c>
      <c r="BL532" s="4" t="s">
        <v>3950</v>
      </c>
      <c r="BM532" s="4" t="s">
        <v>3951</v>
      </c>
      <c r="BN532" s="4" t="s">
        <v>3952</v>
      </c>
      <c r="BO532" s="4" t="s">
        <v>62</v>
      </c>
      <c r="BP532" s="4">
        <v>2607484200</v>
      </c>
      <c r="BQ532" s="5">
        <v>189752</v>
      </c>
      <c r="BR532" s="4">
        <v>4</v>
      </c>
      <c r="BS532" s="4">
        <v>4</v>
      </c>
      <c r="BT532" s="4">
        <v>1997</v>
      </c>
      <c r="BU532" s="4" t="s">
        <v>163</v>
      </c>
      <c r="BV532" s="4" t="s">
        <v>3953</v>
      </c>
      <c r="BW532" s="4" t="s">
        <v>98</v>
      </c>
      <c r="BX532" s="4" t="s">
        <v>3954</v>
      </c>
      <c r="BY532" s="4">
        <v>5812</v>
      </c>
      <c r="BZ532" s="4" t="s">
        <v>3955</v>
      </c>
      <c r="CC532" s="4">
        <v>58120000</v>
      </c>
      <c r="CD532" s="4" t="s">
        <v>3954</v>
      </c>
      <c r="CG532" s="4">
        <v>722511</v>
      </c>
      <c r="CH532" s="4" t="s">
        <v>3956</v>
      </c>
      <c r="CK532"/>
      <c r="CL532"/>
      <c r="CN532" s="35">
        <f>IF($BH532="",1,COUNTIF($BH$3:$BH532,$BH532))</f>
        <v>1</v>
      </c>
      <c r="CO532" s="21" t="s">
        <v>4385</v>
      </c>
      <c r="CP532" t="str">
        <f>IF($K532="Standard Match","Match",IF($K532="Name Only Match",IF($CO532="Yes","Match","Name Only Match"),"No Match"))</f>
        <v>Name Only Match</v>
      </c>
      <c r="CQ532" s="35" t="str">
        <f>IF(AND(CP532="Match",CK532&gt;0,CL532&gt;0),"Y","N")</f>
        <v>N</v>
      </c>
      <c r="CR532" t="s">
        <v>4397</v>
      </c>
      <c r="CS532" t="str">
        <f>IF($CQ532="Y",VLOOKUP($CM532,'SBA Size Standards'!$B$3:$G$57,MATCH('SBA Size Standards'!$G$3,'SBA Size Standards'!$B$3:$G$3,0),FALSE),"")</f>
        <v/>
      </c>
      <c r="CT532" s="60" t="str">
        <f>IF(CQ532="Y",IF($CS532="Employment","N/A",VLOOKUP($CM532,'SBA Size Standards'!$B$3:$G$57,MATCH('SBA Size Standards'!$E$3,'SBA Size Standards'!$B$3:$G$3,0),FALSE)),"")</f>
        <v/>
      </c>
      <c r="CU532" s="86" t="str">
        <f>IF($CQ532="Y",IF($CS532="Revenue","N/A",VLOOKUP($CM532,'SBA Size Standards'!$B$3:$G$57,MATCH('SBA Size Standards'!$F$3,'SBA Size Standards'!$B$3:$G$3,0),FALSE)),"")</f>
        <v/>
      </c>
      <c r="CV532" t="str">
        <f>IF($CQ532="Y",IF(OR(AND($CS532="Employment",$CL532&lt;$CU532),AND($CS532="Revenue",$CK532&lt;$CT532)),"YES","NO"),"")</f>
        <v/>
      </c>
      <c r="CW532" s="90" t="str">
        <f>IF($CQ532="Y",INDEX('SBA Size Standards'!$N$3:$N$12,MATCH($CK532,'SBA Size Standards'!$O$3:$O$12,1)),"")</f>
        <v/>
      </c>
      <c r="CX532" s="122" t="s">
        <v>4990</v>
      </c>
      <c r="CY532" s="122">
        <f>INDEX('NM O&amp;G Production'!$P$3:$P$537,MATCH(CX532,'NM O&amp;G Production'!$Q$3:$Q$537,0))</f>
        <v>389</v>
      </c>
      <c r="CZ532" s="122" t="str">
        <f>INDEX('NM O&amp;G Production'!$O$3:$O$537,MATCH(CY532,'NM O&amp;G Production'!$P$3:$P$537,0))</f>
        <v>Yes</v>
      </c>
      <c r="DA532" s="127">
        <f>INDEX('NM O&amp;G Production'!$K$3:$O$537,MATCH($CY532,'NM O&amp;G Production'!$P$3:$P$537,0),MATCH(DA$2,'NM O&amp;G Production'!$K$2:$O$2,0))</f>
        <v>0</v>
      </c>
      <c r="DB532" s="127">
        <f>INDEX('NM O&amp;G Production'!$K$3:$O$537,MATCH($CY532,'NM O&amp;G Production'!$P$3:$P$537,0),MATCH(DB$2,'NM O&amp;G Production'!$K$2:$O$2,0))</f>
        <v>4</v>
      </c>
      <c r="DC532" s="127"/>
      <c r="DD532" s="127">
        <f>INDEX('NM O&amp;G Production'!$K$3:$O$537,MATCH($CY532,'NM O&amp;G Production'!$P$3:$P$537,0),MATCH(DD$2,'NM O&amp;G Production'!$K$2:$O$2,0))</f>
        <v>2631</v>
      </c>
      <c r="DE532" s="127">
        <f>INDEX('NM O&amp;G Production'!$K$3:$O$537,MATCH($CY532,'NM O&amp;G Production'!$P$3:$P$537,0),MATCH(DE$2,'NM O&amp;G Production'!$K$2:$O$2,0))</f>
        <v>135</v>
      </c>
      <c r="DF532" s="258">
        <f>CK532/(DB532+DA532)</f>
        <v>0</v>
      </c>
      <c r="DG532" s="57">
        <f>DD532*(12/18)*1.06*'Oil and Gas Prices'!$C$18</f>
        <v>4443.5835999999999</v>
      </c>
      <c r="DH532" s="284">
        <f>DE532*(12/18)*'Oil and Gas Prices'!$C$4</f>
        <v>4050</v>
      </c>
      <c r="DI532" s="284">
        <f>DG532+DH532</f>
        <v>8493.5835999999999</v>
      </c>
      <c r="DJ532" s="57">
        <f>(DG532+DH532)/(DA532+DB532)</f>
        <v>2123.3959</v>
      </c>
      <c r="DK532" s="18">
        <f>CK532/DI532</f>
        <v>0</v>
      </c>
    </row>
    <row r="533" spans="1:115" x14ac:dyDescent="0.25">
      <c r="A533" s="27" t="s">
        <v>1622</v>
      </c>
      <c r="B533" t="s">
        <v>1623</v>
      </c>
      <c r="D533" t="s">
        <v>123</v>
      </c>
      <c r="E533" t="s">
        <v>84</v>
      </c>
      <c r="F533">
        <v>87402</v>
      </c>
      <c r="G533" t="s">
        <v>62</v>
      </c>
      <c r="I533">
        <v>219</v>
      </c>
      <c r="J533" t="s">
        <v>63</v>
      </c>
      <c r="K533" t="s">
        <v>4134</v>
      </c>
      <c r="L533" t="s">
        <v>3627</v>
      </c>
      <c r="M533">
        <v>8</v>
      </c>
      <c r="N533" t="s">
        <v>3884</v>
      </c>
      <c r="O533" s="21" t="s">
        <v>3885</v>
      </c>
      <c r="Q533" t="s">
        <v>3886</v>
      </c>
      <c r="R533" t="s">
        <v>112</v>
      </c>
      <c r="S533" t="s">
        <v>94</v>
      </c>
      <c r="T533" t="s">
        <v>3887</v>
      </c>
      <c r="U533" t="s">
        <v>62</v>
      </c>
      <c r="V533">
        <v>8326051248</v>
      </c>
      <c r="W533" s="1">
        <v>111164</v>
      </c>
      <c r="X533">
        <v>2</v>
      </c>
      <c r="Y533">
        <v>2</v>
      </c>
      <c r="Z533">
        <v>2011</v>
      </c>
      <c r="AA533" t="s">
        <v>70</v>
      </c>
      <c r="AB533" t="s">
        <v>3888</v>
      </c>
      <c r="AC533" t="s">
        <v>231</v>
      </c>
      <c r="AD533" t="s">
        <v>1300</v>
      </c>
      <c r="AE533">
        <v>7389</v>
      </c>
      <c r="AF533" t="s">
        <v>1301</v>
      </c>
      <c r="AI533">
        <v>73899999</v>
      </c>
      <c r="AJ533" t="s">
        <v>1935</v>
      </c>
      <c r="AM533">
        <v>561990</v>
      </c>
      <c r="AN533" t="s">
        <v>1936</v>
      </c>
      <c r="AQ533" t="s">
        <v>75</v>
      </c>
      <c r="AT533" t="s">
        <v>76</v>
      </c>
      <c r="BF533">
        <v>0</v>
      </c>
      <c r="BG533">
        <v>0</v>
      </c>
      <c r="CK533"/>
      <c r="CL533"/>
      <c r="CN533" s="35">
        <f>IF($BH533="",1,COUNTIF($BH$3:$BH533,$BH533))</f>
        <v>1</v>
      </c>
      <c r="CO533" s="21" t="s">
        <v>4385</v>
      </c>
      <c r="CP533" t="str">
        <f>IF($K533="Standard Match","Match",IF($K533="Name Only Match",IF($CO533="Yes","Match","Name Only Match"),"No Match"))</f>
        <v>Name Only Match</v>
      </c>
      <c r="CQ533" s="35" t="str">
        <f>IF(AND(CP533="Match",CK533&gt;0,CL533&gt;0),"Y","N")</f>
        <v>N</v>
      </c>
      <c r="CR533" s="21" t="s">
        <v>4383</v>
      </c>
      <c r="CS533" t="str">
        <f>IF($CQ533="Y",VLOOKUP($CM533,'SBA Size Standards'!$B$3:$G$57,MATCH('SBA Size Standards'!$G$3,'SBA Size Standards'!$B$3:$G$3,0),FALSE),"")</f>
        <v/>
      </c>
      <c r="CT533" s="60" t="str">
        <f>IF(CQ533="Y",IF($CS533="Employment","N/A",VLOOKUP($CM533,'SBA Size Standards'!$B$3:$G$57,MATCH('SBA Size Standards'!$E$3,'SBA Size Standards'!$B$3:$G$3,0),FALSE)),"")</f>
        <v/>
      </c>
      <c r="CU533" s="86" t="str">
        <f>IF($CQ533="Y",IF($CS533="Revenue","N/A",VLOOKUP($CM533,'SBA Size Standards'!$B$3:$G$57,MATCH('SBA Size Standards'!$F$3,'SBA Size Standards'!$B$3:$G$3,0),FALSE)),"")</f>
        <v/>
      </c>
      <c r="CV533" t="str">
        <f>IF($CQ533="Y",IF(OR(AND($CS533="Employment",$CL533&lt;$CU533),AND($CS533="Revenue",$CK533&lt;$CT533)),"YES","NO"),"")</f>
        <v/>
      </c>
      <c r="CW533" s="90" t="str">
        <f>IF($CQ533="Y",INDEX('SBA Size Standards'!$N$3:$N$12,MATCH($CK533,'SBA Size Standards'!$O$3:$O$12,1)),"")</f>
        <v/>
      </c>
      <c r="CX533" s="122" t="s">
        <v>4965</v>
      </c>
      <c r="CY533" s="122">
        <f>INDEX('NM O&amp;G Production'!$P$3:$P$537,MATCH(CX533,'NM O&amp;G Production'!$Q$3:$Q$537,0))</f>
        <v>219</v>
      </c>
      <c r="CZ533" s="122" t="str">
        <f>INDEX('NM O&amp;G Production'!$O$3:$O$537,MATCH(CY533,'NM O&amp;G Production'!$P$3:$P$537,0))</f>
        <v>Yes</v>
      </c>
      <c r="DA533" s="127">
        <f>INDEX('NM O&amp;G Production'!$K$3:$O$537,MATCH($CY533,'NM O&amp;G Production'!$P$3:$P$537,0),MATCH(DA$2,'NM O&amp;G Production'!$K$2:$O$2,0))</f>
        <v>0</v>
      </c>
      <c r="DB533" s="127">
        <f>INDEX('NM O&amp;G Production'!$K$3:$O$537,MATCH($CY533,'NM O&amp;G Production'!$P$3:$P$537,0),MATCH(DB$2,'NM O&amp;G Production'!$K$2:$O$2,0))</f>
        <v>1</v>
      </c>
      <c r="DC533" s="127"/>
      <c r="DD533" s="127">
        <f>INDEX('NM O&amp;G Production'!$K$3:$O$537,MATCH($CY533,'NM O&amp;G Production'!$P$3:$P$537,0),MATCH(DD$2,'NM O&amp;G Production'!$K$2:$O$2,0))</f>
        <v>943</v>
      </c>
      <c r="DE533" s="127">
        <f>INDEX('NM O&amp;G Production'!$K$3:$O$537,MATCH($CY533,'NM O&amp;G Production'!$P$3:$P$537,0),MATCH(DE$2,'NM O&amp;G Production'!$K$2:$O$2,0))</f>
        <v>0</v>
      </c>
      <c r="DF533" s="258">
        <f>CK533/(DB533+DA533)</f>
        <v>0</v>
      </c>
      <c r="DG533" s="57">
        <f>DD533*(12/18)*1.06*'Oil and Gas Prices'!$C$18</f>
        <v>1592.6641333333334</v>
      </c>
      <c r="DH533" s="284">
        <f>DE533*(12/18)*'Oil and Gas Prices'!$C$4</f>
        <v>0</v>
      </c>
      <c r="DI533" s="284">
        <f>DG533+DH533</f>
        <v>1592.6641333333334</v>
      </c>
      <c r="DJ533" s="57">
        <f>(DG533+DH533)/(DA533+DB533)</f>
        <v>1592.6641333333334</v>
      </c>
      <c r="DK533" s="18">
        <f>CK533/DI533</f>
        <v>0</v>
      </c>
    </row>
    <row r="534" spans="1:115" x14ac:dyDescent="0.25">
      <c r="A534" t="s">
        <v>2115</v>
      </c>
      <c r="B534" t="s">
        <v>1865</v>
      </c>
      <c r="D534" t="s">
        <v>1866</v>
      </c>
      <c r="E534" t="s">
        <v>80</v>
      </c>
      <c r="F534">
        <v>77474</v>
      </c>
      <c r="G534" t="s">
        <v>62</v>
      </c>
      <c r="I534">
        <v>299</v>
      </c>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c r="CL534"/>
      <c r="CM534" s="21"/>
      <c r="CN534" s="61">
        <f>IF($BH534="",1,COUNTIF($BH$3:$BH534,$BH534))</f>
        <v>1</v>
      </c>
      <c r="CP534" t="str">
        <f>IF($K534="Standard Match","Match",IF($K534="Name Only Match",IF($CO534="Yes","Match","Name Only Match"),"No Match"))</f>
        <v>No Match</v>
      </c>
      <c r="CQ534" s="35" t="str">
        <f>IF(AND(CP534="Match",CK534&gt;0,CL534&gt;0),"Y","N")</f>
        <v>N</v>
      </c>
      <c r="CS534" t="str">
        <f>IF($CQ534="Y",VLOOKUP($CM534,'SBA Size Standards'!$B$3:$G$57,MATCH('SBA Size Standards'!$G$3,'SBA Size Standards'!$B$3:$G$3,0),FALSE),"")</f>
        <v/>
      </c>
      <c r="CT534" s="60" t="str">
        <f>IF(CQ534="Y",IF($CS534="Employment","N/A",VLOOKUP($CM534,'SBA Size Standards'!$B$3:$G$57,MATCH('SBA Size Standards'!$E$3,'SBA Size Standards'!$B$3:$G$3,0),FALSE)),"")</f>
        <v/>
      </c>
      <c r="CU534" s="86" t="str">
        <f>IF($CQ534="Y",IF($CS534="Revenue","N/A",VLOOKUP($CM534,'SBA Size Standards'!$B$3:$G$57,MATCH('SBA Size Standards'!$F$3,'SBA Size Standards'!$B$3:$G$3,0),FALSE)),"")</f>
        <v/>
      </c>
      <c r="CV534" t="str">
        <f>IF($CQ534="Y",IF(OR(AND($CS534="Employment",$CL534&lt;$CU534),AND($CS534="Revenue",$CK534&lt;$CT534)),"YES","NO"),"")</f>
        <v/>
      </c>
      <c r="CW534" s="90" t="str">
        <f>IF($CQ534="Y",INDEX('SBA Size Standards'!$N$3:$N$12,MATCH($CK534,'SBA Size Standards'!$O$3:$O$12,1)),"")</f>
        <v/>
      </c>
      <c r="CX534" s="122" t="s">
        <v>5035</v>
      </c>
      <c r="CY534" s="122">
        <f>INDEX('NM O&amp;G Production'!$P$3:$P$537,MATCH(CX534,'NM O&amp;G Production'!$Q$3:$Q$537,0))</f>
        <v>299</v>
      </c>
      <c r="CZ534" s="122" t="str">
        <f>INDEX('NM O&amp;G Production'!$O$3:$O$537,MATCH(CY534,'NM O&amp;G Production'!$P$3:$P$537,0))</f>
        <v>Yes</v>
      </c>
      <c r="DA534" s="127">
        <f>INDEX('NM O&amp;G Production'!$K$3:$O$537,MATCH($CY534,'NM O&amp;G Production'!$P$3:$P$537,0),MATCH(DA$2,'NM O&amp;G Production'!$K$2:$O$2,0))</f>
        <v>0</v>
      </c>
      <c r="DB534" s="127">
        <f>INDEX('NM O&amp;G Production'!$K$3:$O$537,MATCH($CY534,'NM O&amp;G Production'!$P$3:$P$537,0),MATCH(DB$2,'NM O&amp;G Production'!$K$2:$O$2,0))</f>
        <v>6</v>
      </c>
      <c r="DC534" s="127"/>
      <c r="DD534" s="127">
        <f>INDEX('NM O&amp;G Production'!$K$3:$O$537,MATCH($CY534,'NM O&amp;G Production'!$P$3:$P$537,0),MATCH(DD$2,'NM O&amp;G Production'!$K$2:$O$2,0))</f>
        <v>0</v>
      </c>
      <c r="DE534" s="127">
        <f>INDEX('NM O&amp;G Production'!$K$3:$O$537,MATCH($CY534,'NM O&amp;G Production'!$P$3:$P$537,0),MATCH(DE$2,'NM O&amp;G Production'!$K$2:$O$2,0))</f>
        <v>49</v>
      </c>
      <c r="DF534" s="258">
        <f>CK534/(DB534+DA534)</f>
        <v>0</v>
      </c>
      <c r="DG534" s="57">
        <f>DD534*(12/18)*1.06*'Oil and Gas Prices'!$C$18</f>
        <v>0</v>
      </c>
      <c r="DH534" s="284">
        <f>DE534*(12/18)*'Oil and Gas Prices'!$C$4</f>
        <v>1470</v>
      </c>
      <c r="DI534" s="284">
        <f>DG534+DH534</f>
        <v>1470</v>
      </c>
      <c r="DJ534" s="57">
        <f>(DG534+DH534)/(DA534+DB534)</f>
        <v>245</v>
      </c>
      <c r="DK534" s="18">
        <f>CK534/DI534</f>
        <v>0</v>
      </c>
    </row>
    <row r="535" spans="1:115" x14ac:dyDescent="0.25">
      <c r="A535" s="32" t="s">
        <v>1927</v>
      </c>
      <c r="B535" t="s">
        <v>1928</v>
      </c>
      <c r="D535" t="s">
        <v>209</v>
      </c>
      <c r="E535" t="s">
        <v>84</v>
      </c>
      <c r="F535">
        <v>88202</v>
      </c>
      <c r="G535" t="s">
        <v>62</v>
      </c>
      <c r="I535">
        <v>266</v>
      </c>
      <c r="J535" t="s">
        <v>63</v>
      </c>
      <c r="K535" t="s">
        <v>4134</v>
      </c>
      <c r="L535" t="s">
        <v>3627</v>
      </c>
      <c r="M535">
        <v>8</v>
      </c>
      <c r="N535" t="s">
        <v>4117</v>
      </c>
      <c r="O535" s="21" t="s">
        <v>4118</v>
      </c>
      <c r="Q535" t="s">
        <v>4119</v>
      </c>
      <c r="R535" t="s">
        <v>4120</v>
      </c>
      <c r="S535" t="s">
        <v>3662</v>
      </c>
      <c r="T535" t="s">
        <v>4121</v>
      </c>
      <c r="U535" t="s">
        <v>62</v>
      </c>
      <c r="V535">
        <v>6198141400</v>
      </c>
      <c r="X535">
        <v>0</v>
      </c>
      <c r="Y535">
        <v>0</v>
      </c>
      <c r="Z535">
        <v>2009</v>
      </c>
      <c r="AA535" t="s">
        <v>70</v>
      </c>
      <c r="AB535" t="s">
        <v>4122</v>
      </c>
      <c r="AC535" t="s">
        <v>145</v>
      </c>
      <c r="AD535" t="s">
        <v>1408</v>
      </c>
      <c r="AE535">
        <v>6719</v>
      </c>
      <c r="AF535" t="s">
        <v>1409</v>
      </c>
      <c r="AI535">
        <v>67199901</v>
      </c>
      <c r="AJ535" t="s">
        <v>3393</v>
      </c>
      <c r="AM535">
        <v>551112</v>
      </c>
      <c r="AN535" t="s">
        <v>1411</v>
      </c>
      <c r="AQ535" t="s">
        <v>75</v>
      </c>
      <c r="AT535" t="s">
        <v>76</v>
      </c>
      <c r="BF535">
        <v>0</v>
      </c>
      <c r="BG535">
        <v>0</v>
      </c>
      <c r="CK535"/>
      <c r="CL535"/>
      <c r="CN535" s="35">
        <f>IF($BH535="",1,COUNTIF($BH$3:$BH535,$BH535))</f>
        <v>1</v>
      </c>
      <c r="CO535" s="21" t="s">
        <v>4385</v>
      </c>
      <c r="CP535" t="str">
        <f>IF($K535="Standard Match","Match",IF($K535="Name Only Match",IF($CO535="Yes","Match","Name Only Match"),"No Match"))</f>
        <v>Name Only Match</v>
      </c>
      <c r="CQ535" s="35" t="str">
        <f>IF(AND(CP535="Match",CK535&gt;0,CL535&gt;0),"Y","N")</f>
        <v>N</v>
      </c>
      <c r="CR535" t="s">
        <v>4393</v>
      </c>
      <c r="CS535" t="str">
        <f>IF($CQ535="Y",VLOOKUP($CM535,'SBA Size Standards'!$B$3:$G$57,MATCH('SBA Size Standards'!$G$3,'SBA Size Standards'!$B$3:$G$3,0),FALSE),"")</f>
        <v/>
      </c>
      <c r="CT535" s="60" t="str">
        <f>IF(CQ535="Y",IF($CS535="Employment","N/A",VLOOKUP($CM535,'SBA Size Standards'!$B$3:$G$57,MATCH('SBA Size Standards'!$E$3,'SBA Size Standards'!$B$3:$G$3,0),FALSE)),"")</f>
        <v/>
      </c>
      <c r="CU535" s="86" t="str">
        <f>IF($CQ535="Y",IF($CS535="Revenue","N/A",VLOOKUP($CM535,'SBA Size Standards'!$B$3:$G$57,MATCH('SBA Size Standards'!$F$3,'SBA Size Standards'!$B$3:$G$3,0),FALSE)),"")</f>
        <v/>
      </c>
      <c r="CV535" t="str">
        <f>IF($CQ535="Y",IF(OR(AND($CS535="Employment",$CL535&lt;$CU535),AND($CS535="Revenue",$CK535&lt;$CT535)),"YES","NO"),"")</f>
        <v/>
      </c>
      <c r="CW535" s="90" t="str">
        <f>IF($CQ535="Y",INDEX('SBA Size Standards'!$N$3:$N$12,MATCH($CK535,'SBA Size Standards'!$O$3:$O$12,1)),"")</f>
        <v/>
      </c>
      <c r="CX535" s="122" t="s">
        <v>4971</v>
      </c>
      <c r="CY535" s="122">
        <f>INDEX('NM O&amp;G Production'!$P$3:$P$537,MATCH(CX535,'NM O&amp;G Production'!$Q$3:$Q$537,0))</f>
        <v>266</v>
      </c>
      <c r="CZ535" s="122" t="str">
        <f>INDEX('NM O&amp;G Production'!$O$3:$O$537,MATCH(CY535,'NM O&amp;G Production'!$P$3:$P$537,0))</f>
        <v>Yes</v>
      </c>
      <c r="DA535" s="127">
        <f>INDEX('NM O&amp;G Production'!$K$3:$O$537,MATCH($CY535,'NM O&amp;G Production'!$P$3:$P$537,0),MATCH(DA$2,'NM O&amp;G Production'!$K$2:$O$2,0))</f>
        <v>3</v>
      </c>
      <c r="DB535" s="127">
        <f>INDEX('NM O&amp;G Production'!$K$3:$O$537,MATCH($CY535,'NM O&amp;G Production'!$P$3:$P$537,0),MATCH(DB$2,'NM O&amp;G Production'!$K$2:$O$2,0))</f>
        <v>117</v>
      </c>
      <c r="DC535" s="127"/>
      <c r="DD535" s="127">
        <f>INDEX('NM O&amp;G Production'!$K$3:$O$537,MATCH($CY535,'NM O&amp;G Production'!$P$3:$P$537,0),MATCH(DD$2,'NM O&amp;G Production'!$K$2:$O$2,0))</f>
        <v>19160</v>
      </c>
      <c r="DE535" s="127">
        <f>INDEX('NM O&amp;G Production'!$K$3:$O$537,MATCH($CY535,'NM O&amp;G Production'!$P$3:$P$537,0),MATCH(DE$2,'NM O&amp;G Production'!$K$2:$O$2,0))</f>
        <v>1698</v>
      </c>
      <c r="DF535" s="258">
        <f>CK535/(DB535+DA535)</f>
        <v>0</v>
      </c>
      <c r="DG535" s="57">
        <f>DD535*(12/18)*1.06*'Oil and Gas Prices'!$C$18</f>
        <v>32359.96266666667</v>
      </c>
      <c r="DH535" s="284">
        <f>DE535*(12/18)*'Oil and Gas Prices'!$C$4</f>
        <v>50940</v>
      </c>
      <c r="DI535" s="284">
        <f>DG535+DH535</f>
        <v>83299.962666666674</v>
      </c>
      <c r="DJ535" s="57">
        <f>(DG535+DH535)/(DA535+DB535)</f>
        <v>694.16635555555558</v>
      </c>
      <c r="DK535" s="18">
        <f>CK535/DI535</f>
        <v>0</v>
      </c>
    </row>
    <row r="536" spans="1:115" x14ac:dyDescent="0.25">
      <c r="A536" s="27" t="s">
        <v>936</v>
      </c>
      <c r="B536" t="s">
        <v>937</v>
      </c>
      <c r="D536" t="s">
        <v>83</v>
      </c>
      <c r="E536" t="s">
        <v>84</v>
      </c>
      <c r="F536">
        <v>88210</v>
      </c>
      <c r="G536" t="s">
        <v>62</v>
      </c>
      <c r="I536">
        <v>120</v>
      </c>
      <c r="J536" t="s">
        <v>63</v>
      </c>
      <c r="K536" t="s">
        <v>4134</v>
      </c>
      <c r="L536" t="s">
        <v>3627</v>
      </c>
      <c r="M536">
        <v>8</v>
      </c>
      <c r="N536" t="s">
        <v>4056</v>
      </c>
      <c r="O536" s="21" t="s">
        <v>4057</v>
      </c>
      <c r="Q536" t="s">
        <v>4058</v>
      </c>
      <c r="R536" t="s">
        <v>3851</v>
      </c>
      <c r="S536" t="s">
        <v>390</v>
      </c>
      <c r="T536">
        <v>60619</v>
      </c>
      <c r="U536" t="s">
        <v>62</v>
      </c>
      <c r="V536">
        <v>7736172949</v>
      </c>
      <c r="W536" s="1">
        <v>83394</v>
      </c>
      <c r="X536">
        <v>2</v>
      </c>
      <c r="Y536">
        <v>2</v>
      </c>
      <c r="Z536">
        <v>2011</v>
      </c>
      <c r="AA536" t="s">
        <v>70</v>
      </c>
      <c r="AB536" t="s">
        <v>4059</v>
      </c>
      <c r="AC536" t="s">
        <v>231</v>
      </c>
      <c r="AD536" t="s">
        <v>4060</v>
      </c>
      <c r="AE536">
        <v>8699</v>
      </c>
      <c r="AF536" t="s">
        <v>4061</v>
      </c>
      <c r="AI536">
        <v>86999904</v>
      </c>
      <c r="AJ536" t="s">
        <v>4062</v>
      </c>
      <c r="AM536">
        <v>813410</v>
      </c>
      <c r="AN536" t="s">
        <v>4063</v>
      </c>
      <c r="AQ536" t="s">
        <v>75</v>
      </c>
      <c r="AT536" t="s">
        <v>76</v>
      </c>
      <c r="BF536">
        <v>0</v>
      </c>
      <c r="BG536">
        <v>0</v>
      </c>
      <c r="CK536"/>
      <c r="CL536"/>
      <c r="CN536" s="35">
        <f>IF($BH536="",1,COUNTIF($BH$3:$BH536,$BH536))</f>
        <v>1</v>
      </c>
      <c r="CO536" s="21" t="s">
        <v>4385</v>
      </c>
      <c r="CP536" t="str">
        <f>IF($K536="Standard Match","Match",IF($K536="Name Only Match",IF($CO536="Yes","Match","Name Only Match"),"No Match"))</f>
        <v>Name Only Match</v>
      </c>
      <c r="CQ536" s="35" t="str">
        <f>IF(AND(CP536="Match",CK536&gt;0,CL536&gt;0),"Y","N")</f>
        <v>N</v>
      </c>
      <c r="CR536" t="s">
        <v>4388</v>
      </c>
      <c r="CS536" t="str">
        <f>IF($CQ536="Y",VLOOKUP($CM536,'SBA Size Standards'!$B$3:$G$57,MATCH('SBA Size Standards'!$G$3,'SBA Size Standards'!$B$3:$G$3,0),FALSE),"")</f>
        <v/>
      </c>
      <c r="CT536" s="60" t="str">
        <f>IF(CQ536="Y",IF($CS536="Employment","N/A",VLOOKUP($CM536,'SBA Size Standards'!$B$3:$G$57,MATCH('SBA Size Standards'!$E$3,'SBA Size Standards'!$B$3:$G$3,0),FALSE)),"")</f>
        <v/>
      </c>
      <c r="CU536" s="86" t="str">
        <f>IF($CQ536="Y",IF($CS536="Revenue","N/A",VLOOKUP($CM536,'SBA Size Standards'!$B$3:$G$57,MATCH('SBA Size Standards'!$F$3,'SBA Size Standards'!$B$3:$G$3,0),FALSE)),"")</f>
        <v/>
      </c>
      <c r="CV536" t="str">
        <f>IF($CQ536="Y",IF(OR(AND($CS536="Employment",$CL536&lt;$CU536),AND($CS536="Revenue",$CK536&lt;$CT536)),"YES","NO"),"")</f>
        <v/>
      </c>
      <c r="CW536" s="90" t="str">
        <f>IF($CQ536="Y",INDEX('SBA Size Standards'!$N$3:$N$12,MATCH($CK536,'SBA Size Standards'!$O$3:$O$12,1)),"")</f>
        <v/>
      </c>
      <c r="CX536" s="122" t="s">
        <v>4951</v>
      </c>
      <c r="CY536" s="122">
        <f>INDEX('NM O&amp;G Production'!$P$3:$P$537,MATCH(CX536,'NM O&amp;G Production'!$Q$3:$Q$537,0))</f>
        <v>120</v>
      </c>
      <c r="CZ536" s="122" t="str">
        <f>INDEX('NM O&amp;G Production'!$O$3:$O$537,MATCH(CY536,'NM O&amp;G Production'!$P$3:$P$537,0))</f>
        <v>Yes</v>
      </c>
      <c r="DA536" s="127">
        <f>INDEX('NM O&amp;G Production'!$K$3:$O$537,MATCH($CY536,'NM O&amp;G Production'!$P$3:$P$537,0),MATCH(DA$2,'NM O&amp;G Production'!$K$2:$O$2,0))</f>
        <v>0</v>
      </c>
      <c r="DB536" s="127">
        <f>INDEX('NM O&amp;G Production'!$K$3:$O$537,MATCH($CY536,'NM O&amp;G Production'!$P$3:$P$537,0),MATCH(DB$2,'NM O&amp;G Production'!$K$2:$O$2,0))</f>
        <v>9</v>
      </c>
      <c r="DC536" s="127"/>
      <c r="DD536" s="127">
        <f>INDEX('NM O&amp;G Production'!$K$3:$O$537,MATCH($CY536,'NM O&amp;G Production'!$P$3:$P$537,0),MATCH(DD$2,'NM O&amp;G Production'!$K$2:$O$2,0))</f>
        <v>0</v>
      </c>
      <c r="DE536" s="127">
        <f>INDEX('NM O&amp;G Production'!$K$3:$O$537,MATCH($CY536,'NM O&amp;G Production'!$P$3:$P$537,0),MATCH(DE$2,'NM O&amp;G Production'!$K$2:$O$2,0))</f>
        <v>191</v>
      </c>
      <c r="DF536" s="258">
        <f>CK536/(DB536+DA536)</f>
        <v>0</v>
      </c>
      <c r="DG536" s="57">
        <f>DD536*(12/18)*1.06*'Oil and Gas Prices'!$C$18</f>
        <v>0</v>
      </c>
      <c r="DH536" s="284">
        <f>DE536*(12/18)*'Oil and Gas Prices'!$C$4</f>
        <v>5730</v>
      </c>
      <c r="DI536" s="284">
        <f>DG536+DH536</f>
        <v>5730</v>
      </c>
      <c r="DJ536" s="57">
        <f>(DG536+DH536)/(DA536+DB536)</f>
        <v>636.66666666666663</v>
      </c>
      <c r="DK536" s="18">
        <f>CK536/DI536</f>
        <v>0</v>
      </c>
    </row>
    <row r="537" spans="1:115" x14ac:dyDescent="0.25">
      <c r="A537" s="27" t="s">
        <v>884</v>
      </c>
      <c r="B537" t="s">
        <v>885</v>
      </c>
      <c r="D537" t="s">
        <v>123</v>
      </c>
      <c r="E537" t="s">
        <v>84</v>
      </c>
      <c r="F537">
        <v>87401</v>
      </c>
      <c r="G537" t="s">
        <v>62</v>
      </c>
      <c r="I537">
        <v>113</v>
      </c>
      <c r="J537" t="s">
        <v>89</v>
      </c>
      <c r="K537" t="s">
        <v>4134</v>
      </c>
      <c r="L537" t="s">
        <v>3627</v>
      </c>
      <c r="M537">
        <v>8</v>
      </c>
      <c r="N537" t="s">
        <v>3805</v>
      </c>
      <c r="O537" s="21" t="s">
        <v>3806</v>
      </c>
      <c r="Q537" t="s">
        <v>3807</v>
      </c>
      <c r="R537" t="s">
        <v>3808</v>
      </c>
      <c r="S537" t="s">
        <v>2381</v>
      </c>
      <c r="T537" t="s">
        <v>3809</v>
      </c>
      <c r="U537" t="s">
        <v>62</v>
      </c>
      <c r="V537">
        <v>6206551586</v>
      </c>
      <c r="W537" s="1">
        <v>76000</v>
      </c>
      <c r="X537">
        <v>1</v>
      </c>
      <c r="Y537">
        <v>1</v>
      </c>
      <c r="Z537">
        <v>2006</v>
      </c>
      <c r="AA537" t="s">
        <v>70</v>
      </c>
      <c r="AB537" t="s">
        <v>3806</v>
      </c>
      <c r="AC537" t="s">
        <v>231</v>
      </c>
      <c r="AD537" t="s">
        <v>1825</v>
      </c>
      <c r="AE537">
        <v>4212</v>
      </c>
      <c r="AF537" t="s">
        <v>1826</v>
      </c>
      <c r="AI537">
        <v>42129905</v>
      </c>
      <c r="AJ537" t="s">
        <v>3810</v>
      </c>
      <c r="AM537">
        <v>484220</v>
      </c>
      <c r="AN537" t="s">
        <v>3811</v>
      </c>
      <c r="AQ537" t="s">
        <v>75</v>
      </c>
      <c r="AT537" t="s">
        <v>76</v>
      </c>
      <c r="BF537">
        <v>0</v>
      </c>
      <c r="BG537">
        <v>0</v>
      </c>
      <c r="CK537"/>
      <c r="CL537"/>
      <c r="CN537" s="35">
        <f>IF($BH537="",1,COUNTIF($BH$3:$BH537,$BH537))</f>
        <v>1</v>
      </c>
      <c r="CO537" s="21" t="s">
        <v>4385</v>
      </c>
      <c r="CP537" t="str">
        <f>IF($K537="Standard Match","Match",IF($K537="Name Only Match",IF($CO537="Yes","Match","Name Only Match"),"No Match"))</f>
        <v>Name Only Match</v>
      </c>
      <c r="CQ537" s="35" t="str">
        <f>IF(AND(CP537="Match",CK537&gt;0,CL537&gt;0),"Y","N")</f>
        <v>N</v>
      </c>
      <c r="CR537" s="21" t="s">
        <v>4383</v>
      </c>
      <c r="CS537" t="str">
        <f>IF($CQ537="Y",VLOOKUP($CM537,'SBA Size Standards'!$B$3:$G$57,MATCH('SBA Size Standards'!$G$3,'SBA Size Standards'!$B$3:$G$3,0),FALSE),"")</f>
        <v/>
      </c>
      <c r="CT537" s="60" t="str">
        <f>IF(CQ537="Y",IF($CS537="Employment","N/A",VLOOKUP($CM537,'SBA Size Standards'!$B$3:$G$57,MATCH('SBA Size Standards'!$E$3,'SBA Size Standards'!$B$3:$G$3,0),FALSE)),"")</f>
        <v/>
      </c>
      <c r="CU537" s="86" t="str">
        <f>IF($CQ537="Y",IF($CS537="Revenue","N/A",VLOOKUP($CM537,'SBA Size Standards'!$B$3:$G$57,MATCH('SBA Size Standards'!$F$3,'SBA Size Standards'!$B$3:$G$3,0),FALSE)),"")</f>
        <v/>
      </c>
      <c r="CV537" t="str">
        <f>IF($CQ537="Y",IF(OR(AND($CS537="Employment",$CL537&lt;$CU537),AND($CS537="Revenue",$CK537&lt;$CT537)),"YES","NO"),"")</f>
        <v/>
      </c>
      <c r="CW537" s="90" t="str">
        <f>IF($CQ537="Y",INDEX('SBA Size Standards'!$N$3:$N$12,MATCH($CK537,'SBA Size Standards'!$O$3:$O$12,1)),"")</f>
        <v/>
      </c>
      <c r="CX537" s="122" t="s">
        <v>4949</v>
      </c>
      <c r="CY537" s="122">
        <f>INDEX('NM O&amp;G Production'!$P$3:$P$537,MATCH(CX537,'NM O&amp;G Production'!$Q$3:$Q$537,0))</f>
        <v>113</v>
      </c>
      <c r="CZ537" s="122" t="str">
        <f>INDEX('NM O&amp;G Production'!$O$3:$O$537,MATCH(CY537,'NM O&amp;G Production'!$P$3:$P$537,0))</f>
        <v>Yes</v>
      </c>
      <c r="DA537" s="127">
        <f>INDEX('NM O&amp;G Production'!$K$3:$O$537,MATCH($CY537,'NM O&amp;G Production'!$P$3:$P$537,0),MATCH(DA$2,'NM O&amp;G Production'!$K$2:$O$2,0))</f>
        <v>0</v>
      </c>
      <c r="DB537" s="127">
        <f>INDEX('NM O&amp;G Production'!$K$3:$O$537,MATCH($CY537,'NM O&amp;G Production'!$P$3:$P$537,0),MATCH(DB$2,'NM O&amp;G Production'!$K$2:$O$2,0))</f>
        <v>1</v>
      </c>
      <c r="DC537" s="127"/>
      <c r="DD537" s="127">
        <f>INDEX('NM O&amp;G Production'!$K$3:$O$537,MATCH($CY537,'NM O&amp;G Production'!$P$3:$P$537,0),MATCH(DD$2,'NM O&amp;G Production'!$K$2:$O$2,0))</f>
        <v>181</v>
      </c>
      <c r="DE537" s="127">
        <f>INDEX('NM O&amp;G Production'!$K$3:$O$537,MATCH($CY537,'NM O&amp;G Production'!$P$3:$P$537,0),MATCH(DE$2,'NM O&amp;G Production'!$K$2:$O$2,0))</f>
        <v>0</v>
      </c>
      <c r="DF537" s="258">
        <f>CK537/(DB537+DA537)</f>
        <v>0</v>
      </c>
      <c r="DG537" s="57">
        <f>DD537*(12/18)*1.06*'Oil and Gas Prices'!$C$18</f>
        <v>305.69693333333333</v>
      </c>
      <c r="DH537" s="284">
        <f>DE537*(12/18)*'Oil and Gas Prices'!$C$4</f>
        <v>0</v>
      </c>
      <c r="DI537" s="284">
        <f>DG537+DH537</f>
        <v>305.69693333333333</v>
      </c>
      <c r="DJ537" s="57">
        <f>(DG537+DH537)/(DA537+DB537)</f>
        <v>305.69693333333333</v>
      </c>
      <c r="DK537" s="18">
        <f>CK537/DI537</f>
        <v>0</v>
      </c>
    </row>
    <row r="538" spans="1:115" x14ac:dyDescent="0.25">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row>
    <row r="539" spans="1:115" x14ac:dyDescent="0.25">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row>
    <row r="540" spans="1:115" x14ac:dyDescent="0.25">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row>
    <row r="541" spans="1:115" x14ac:dyDescent="0.25">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row>
    <row r="542" spans="1:115" x14ac:dyDescent="0.25">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row>
    <row r="543" spans="1:115" x14ac:dyDescent="0.25">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row>
    <row r="544" spans="1:115" x14ac:dyDescent="0.25">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row>
    <row r="545" spans="60:88" x14ac:dyDescent="0.25">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row>
    <row r="546" spans="60:88" x14ac:dyDescent="0.25">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row>
    <row r="547" spans="60:88" x14ac:dyDescent="0.25">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row>
    <row r="548" spans="60:88" x14ac:dyDescent="0.25">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row>
    <row r="549" spans="60:88" x14ac:dyDescent="0.25">
      <c r="BH549" s="21"/>
      <c r="BI549" s="21"/>
      <c r="BJ549" s="21"/>
      <c r="BK549" s="21"/>
      <c r="BL549" s="21"/>
      <c r="BM549" s="21"/>
      <c r="BN549" s="21"/>
      <c r="BO549" s="21"/>
      <c r="BQ549" s="21"/>
      <c r="BR549" s="21"/>
      <c r="BS549" s="21"/>
      <c r="BU549" s="21"/>
      <c r="BX549" s="21"/>
      <c r="CG549" s="21"/>
      <c r="CH549" s="21"/>
      <c r="CI549" s="21"/>
      <c r="CJ549" s="21"/>
    </row>
    <row r="550" spans="60:88" x14ac:dyDescent="0.25">
      <c r="BH550" s="21"/>
      <c r="BI550" s="21"/>
      <c r="BJ550" s="21"/>
      <c r="BK550" s="21"/>
      <c r="BL550" s="21"/>
      <c r="BM550" s="21"/>
      <c r="BN550" s="21"/>
      <c r="BO550" s="21"/>
      <c r="BQ550" s="21"/>
      <c r="BR550" s="21"/>
      <c r="BS550" s="21"/>
      <c r="BU550" s="21"/>
      <c r="BX550" s="21"/>
      <c r="CG550" s="21"/>
      <c r="CH550" s="21"/>
      <c r="CI550" s="21"/>
      <c r="CJ550" s="21"/>
    </row>
    <row r="551" spans="60:88" x14ac:dyDescent="0.25">
      <c r="BH551" s="21"/>
      <c r="BI551" s="21"/>
      <c r="BJ551" s="21"/>
      <c r="BK551" s="21"/>
      <c r="BL551" s="21"/>
      <c r="BM551" s="21"/>
      <c r="BN551" s="21"/>
      <c r="BO551" s="21"/>
      <c r="BQ551" s="21"/>
      <c r="BR551" s="21"/>
      <c r="BS551" s="21"/>
      <c r="BU551" s="21"/>
      <c r="BX551" s="21"/>
      <c r="CG551" s="21"/>
      <c r="CH551" s="21"/>
      <c r="CI551" s="21"/>
      <c r="CJ551" s="21"/>
    </row>
    <row r="552" spans="60:88" x14ac:dyDescent="0.25">
      <c r="BH552" s="21"/>
      <c r="BI552" s="21"/>
      <c r="BJ552" s="21"/>
      <c r="BK552" s="21"/>
      <c r="BL552" s="21"/>
      <c r="BM552" s="21"/>
      <c r="BN552" s="21"/>
      <c r="BO552" s="21"/>
      <c r="BQ552" s="21"/>
      <c r="BR552" s="21"/>
      <c r="BS552" s="21"/>
      <c r="BU552" s="21"/>
      <c r="BX552" s="21"/>
      <c r="CG552" s="21"/>
      <c r="CH552" s="21"/>
      <c r="CI552" s="21"/>
      <c r="CJ552" s="21"/>
    </row>
    <row r="553" spans="60:88" x14ac:dyDescent="0.25">
      <c r="BH553" s="21"/>
      <c r="BI553" s="21"/>
      <c r="BJ553" s="21"/>
      <c r="BK553" s="21"/>
      <c r="BL553" s="21"/>
      <c r="BM553" s="21"/>
      <c r="BN553" s="21"/>
      <c r="BO553" s="21"/>
      <c r="BQ553" s="21"/>
      <c r="BR553" s="21"/>
      <c r="BS553" s="21"/>
      <c r="BU553" s="21"/>
      <c r="BX553" s="21"/>
      <c r="CG553" s="21"/>
      <c r="CH553" s="21"/>
      <c r="CI553" s="21"/>
      <c r="CJ553" s="21"/>
    </row>
    <row r="554" spans="60:88" x14ac:dyDescent="0.25">
      <c r="BH554" s="21"/>
      <c r="BI554" s="21"/>
      <c r="BJ554" s="21"/>
      <c r="BK554" s="21"/>
      <c r="BL554" s="21"/>
      <c r="BM554" s="21"/>
      <c r="BN554" s="21"/>
      <c r="BO554" s="21"/>
      <c r="BQ554" s="21"/>
      <c r="BR554" s="21"/>
      <c r="BS554" s="21"/>
      <c r="BU554" s="21"/>
      <c r="BX554" s="21"/>
      <c r="CG554" s="21"/>
      <c r="CH554" s="21"/>
      <c r="CI554" s="21"/>
      <c r="CJ554" s="21"/>
    </row>
    <row r="555" spans="60:88" x14ac:dyDescent="0.25">
      <c r="BH555" s="21"/>
      <c r="BI555" s="21"/>
      <c r="BJ555" s="21"/>
      <c r="BK555" s="21"/>
      <c r="BL555" s="21"/>
      <c r="BM555" s="21"/>
      <c r="BN555" s="21"/>
      <c r="BO555" s="21"/>
      <c r="BQ555" s="21"/>
      <c r="BR555" s="21"/>
      <c r="BS555" s="21"/>
      <c r="BU555" s="21"/>
      <c r="BX555" s="21"/>
      <c r="CG555" s="21"/>
      <c r="CH555" s="21"/>
      <c r="CI555" s="21"/>
      <c r="CJ555" s="21"/>
    </row>
    <row r="556" spans="60:88" x14ac:dyDescent="0.25">
      <c r="BH556" s="21"/>
      <c r="BI556" s="21"/>
      <c r="BJ556" s="21"/>
      <c r="BK556" s="21"/>
      <c r="BL556" s="21"/>
      <c r="BM556" s="21"/>
      <c r="BN556" s="21"/>
      <c r="BO556" s="21"/>
      <c r="BQ556" s="21"/>
      <c r="BR556" s="21"/>
      <c r="BS556" s="21"/>
      <c r="BU556" s="21"/>
      <c r="BX556" s="21"/>
      <c r="CG556" s="21"/>
      <c r="CH556" s="21"/>
      <c r="CI556" s="21"/>
      <c r="CJ556" s="21"/>
    </row>
    <row r="557" spans="60:88" x14ac:dyDescent="0.25">
      <c r="BH557" s="21"/>
      <c r="BI557" s="21"/>
      <c r="BJ557" s="21"/>
      <c r="BK557" s="21"/>
      <c r="BL557" s="21"/>
      <c r="BM557" s="21"/>
      <c r="BN557" s="21"/>
      <c r="BO557" s="21"/>
      <c r="BQ557" s="21"/>
      <c r="BR557" s="21"/>
      <c r="BS557" s="21"/>
      <c r="BU557" s="21"/>
      <c r="BX557" s="21"/>
      <c r="CG557" s="21"/>
      <c r="CH557" s="21"/>
      <c r="CI557" s="21"/>
      <c r="CJ557" s="21"/>
    </row>
    <row r="558" spans="60:88" x14ac:dyDescent="0.25">
      <c r="BH558" s="21"/>
      <c r="BI558" s="21"/>
      <c r="BJ558" s="21"/>
      <c r="BK558" s="21"/>
      <c r="BL558" s="21"/>
      <c r="BM558" s="21"/>
      <c r="BN558" s="21"/>
      <c r="BO558" s="21"/>
      <c r="BQ558" s="21"/>
      <c r="BR558" s="21"/>
      <c r="BS558" s="21"/>
      <c r="BU558" s="21"/>
      <c r="BX558" s="21"/>
      <c r="CG558" s="21"/>
      <c r="CH558" s="21"/>
      <c r="CI558" s="21"/>
      <c r="CJ558" s="21"/>
    </row>
    <row r="559" spans="60:88" x14ac:dyDescent="0.25">
      <c r="BH559" s="21"/>
      <c r="BI559" s="21"/>
      <c r="BJ559" s="21"/>
      <c r="BK559" s="21"/>
      <c r="BL559" s="21"/>
      <c r="BM559" s="21"/>
      <c r="BN559" s="21"/>
      <c r="BO559" s="21"/>
      <c r="BQ559" s="21"/>
      <c r="BR559" s="21"/>
      <c r="BS559" s="21"/>
      <c r="BU559" s="21"/>
      <c r="BX559" s="21"/>
      <c r="CG559" s="21"/>
      <c r="CH559" s="21"/>
      <c r="CI559" s="21"/>
      <c r="CJ559" s="21"/>
    </row>
    <row r="560" spans="60:88" x14ac:dyDescent="0.25">
      <c r="BH560" s="21"/>
      <c r="BI560" s="21"/>
      <c r="BJ560" s="21"/>
      <c r="BK560" s="21"/>
      <c r="BL560" s="21"/>
      <c r="BM560" s="21"/>
      <c r="BN560" s="21"/>
      <c r="BO560" s="21"/>
      <c r="BQ560" s="21"/>
      <c r="BR560" s="21"/>
      <c r="BS560" s="21"/>
      <c r="BU560" s="21"/>
      <c r="BX560" s="21"/>
      <c r="CG560" s="21"/>
      <c r="CH560" s="21"/>
      <c r="CI560" s="21"/>
      <c r="CJ560" s="21"/>
    </row>
    <row r="561" spans="60:88" x14ac:dyDescent="0.25">
      <c r="BH561" s="21"/>
      <c r="BI561" s="21"/>
      <c r="BJ561" s="21"/>
      <c r="BK561" s="21"/>
      <c r="BL561" s="21"/>
      <c r="BM561" s="21"/>
      <c r="BN561" s="21"/>
      <c r="BO561" s="21"/>
      <c r="BQ561" s="21"/>
      <c r="BR561" s="21"/>
      <c r="BS561" s="21"/>
      <c r="BU561" s="21"/>
      <c r="BX561" s="21"/>
      <c r="CG561" s="21"/>
      <c r="CH561" s="21"/>
      <c r="CI561" s="21"/>
      <c r="CJ561" s="21"/>
    </row>
    <row r="562" spans="60:88" x14ac:dyDescent="0.25">
      <c r="BH562" s="21"/>
      <c r="BI562" s="21"/>
      <c r="BJ562" s="21"/>
      <c r="BK562" s="21"/>
      <c r="BL562" s="21"/>
      <c r="BM562" s="21"/>
      <c r="BN562" s="21"/>
      <c r="BO562" s="21"/>
      <c r="BQ562" s="21"/>
      <c r="BR562" s="21"/>
      <c r="BS562" s="21"/>
      <c r="BU562" s="21"/>
      <c r="BX562" s="21"/>
      <c r="CG562" s="21"/>
      <c r="CH562" s="21"/>
      <c r="CI562" s="21"/>
      <c r="CJ562" s="21"/>
    </row>
    <row r="563" spans="60:88" x14ac:dyDescent="0.25">
      <c r="BH563" s="21"/>
      <c r="BI563" s="21"/>
      <c r="BJ563" s="21"/>
      <c r="BK563" s="21"/>
      <c r="BL563" s="21"/>
      <c r="BM563" s="21"/>
      <c r="BN563" s="21"/>
      <c r="BO563" s="21"/>
      <c r="BQ563" s="21"/>
      <c r="BR563" s="21"/>
      <c r="BS563" s="21"/>
      <c r="BU563" s="21"/>
      <c r="BX563" s="21"/>
      <c r="CG563" s="21"/>
      <c r="CH563" s="21"/>
      <c r="CI563" s="21"/>
      <c r="CJ563" s="21"/>
    </row>
    <row r="564" spans="60:88" x14ac:dyDescent="0.25">
      <c r="BH564" s="21"/>
      <c r="BI564" s="21"/>
      <c r="BJ564" s="21"/>
      <c r="BK564" s="21"/>
      <c r="BL564" s="21"/>
      <c r="BM564" s="21"/>
      <c r="BN564" s="21"/>
      <c r="BO564" s="21"/>
      <c r="BQ564" s="21"/>
      <c r="BR564" s="21"/>
      <c r="BS564" s="21"/>
      <c r="BU564" s="21"/>
      <c r="BX564" s="21"/>
      <c r="CG564" s="21"/>
      <c r="CH564" s="21"/>
      <c r="CI564" s="21"/>
      <c r="CJ564" s="21"/>
    </row>
    <row r="565" spans="60:88" x14ac:dyDescent="0.25">
      <c r="BH565" s="21"/>
      <c r="BI565" s="21"/>
      <c r="BJ565" s="21"/>
      <c r="BK565" s="21"/>
      <c r="BL565" s="21"/>
      <c r="BM565" s="21"/>
      <c r="BN565" s="21"/>
      <c r="BO565" s="21"/>
      <c r="BQ565" s="21"/>
      <c r="BR565" s="21"/>
      <c r="BS565" s="21"/>
      <c r="BU565" s="21"/>
      <c r="BX565" s="21"/>
      <c r="CG565" s="21"/>
      <c r="CH565" s="21"/>
      <c r="CI565" s="21"/>
      <c r="CJ565" s="21"/>
    </row>
    <row r="566" spans="60:88" x14ac:dyDescent="0.25">
      <c r="BH566" s="21"/>
      <c r="BI566" s="21"/>
      <c r="BJ566" s="21"/>
      <c r="BK566" s="21"/>
      <c r="BL566" s="21"/>
      <c r="BM566" s="21"/>
      <c r="BN566" s="21"/>
      <c r="BO566" s="21"/>
      <c r="BQ566" s="21"/>
      <c r="BR566" s="21"/>
      <c r="BS566" s="21"/>
      <c r="BU566" s="21"/>
      <c r="BX566" s="21"/>
      <c r="CG566" s="21"/>
      <c r="CH566" s="21"/>
      <c r="CI566" s="21"/>
      <c r="CJ566" s="21"/>
    </row>
    <row r="567" spans="60:88" x14ac:dyDescent="0.25">
      <c r="BH567" s="21"/>
      <c r="BI567" s="21"/>
      <c r="BJ567" s="21"/>
      <c r="BK567" s="21"/>
      <c r="BL567" s="21"/>
      <c r="BM567" s="21"/>
      <c r="BN567" s="21"/>
      <c r="BO567" s="21"/>
      <c r="BQ567" s="21"/>
      <c r="BR567" s="21"/>
      <c r="BS567" s="21"/>
      <c r="BU567" s="21"/>
      <c r="BX567" s="21"/>
      <c r="CG567" s="21"/>
      <c r="CH567" s="21"/>
      <c r="CI567" s="21"/>
      <c r="CJ567" s="21"/>
    </row>
    <row r="568" spans="60:88" x14ac:dyDescent="0.25">
      <c r="BH568" s="21"/>
      <c r="BI568" s="21"/>
      <c r="BJ568" s="21"/>
      <c r="BK568" s="21"/>
      <c r="BL568" s="21"/>
      <c r="BM568" s="21"/>
      <c r="BN568" s="21"/>
      <c r="BO568" s="21"/>
      <c r="BQ568" s="21"/>
      <c r="BR568" s="21"/>
      <c r="BS568" s="21"/>
      <c r="BU568" s="21"/>
      <c r="BX568" s="21"/>
      <c r="CG568" s="21"/>
      <c r="CH568" s="21"/>
      <c r="CI568" s="21"/>
      <c r="CJ568" s="21"/>
    </row>
    <row r="569" spans="60:88" x14ac:dyDescent="0.25">
      <c r="BH569" s="21"/>
      <c r="BI569" s="21"/>
      <c r="BJ569" s="21"/>
      <c r="BK569" s="21"/>
      <c r="BL569" s="21"/>
      <c r="BM569" s="21"/>
      <c r="BN569" s="21"/>
      <c r="BO569" s="21"/>
      <c r="BQ569" s="21"/>
      <c r="BR569" s="21"/>
      <c r="BS569" s="21"/>
      <c r="BU569" s="21"/>
      <c r="BX569" s="21"/>
      <c r="CG569" s="21"/>
      <c r="CH569" s="21"/>
      <c r="CI569" s="21"/>
      <c r="CJ569" s="21"/>
    </row>
    <row r="570" spans="60:88" x14ac:dyDescent="0.25">
      <c r="BH570" s="21"/>
      <c r="BI570" s="21"/>
      <c r="BJ570" s="21"/>
      <c r="BK570" s="21"/>
      <c r="BL570" s="21"/>
      <c r="BM570" s="21"/>
      <c r="BN570" s="21"/>
      <c r="BO570" s="21"/>
      <c r="BQ570" s="21"/>
      <c r="BR570" s="21"/>
      <c r="BS570" s="21"/>
      <c r="BU570" s="21"/>
      <c r="BX570" s="21"/>
      <c r="CG570" s="21"/>
      <c r="CH570" s="21"/>
      <c r="CI570" s="21"/>
      <c r="CJ570" s="21"/>
    </row>
    <row r="571" spans="60:88" x14ac:dyDescent="0.25">
      <c r="BH571" s="21"/>
      <c r="BI571" s="21"/>
      <c r="BJ571" s="21"/>
      <c r="BK571" s="21"/>
      <c r="BL571" s="21"/>
      <c r="BM571" s="21"/>
      <c r="BN571" s="21"/>
      <c r="BO571" s="21"/>
      <c r="BQ571" s="21"/>
      <c r="BR571" s="21"/>
      <c r="BS571" s="21"/>
      <c r="BU571" s="21"/>
      <c r="BX571" s="21"/>
      <c r="CG571" s="21"/>
      <c r="CH571" s="21"/>
      <c r="CI571" s="21"/>
      <c r="CJ571" s="21"/>
    </row>
    <row r="572" spans="60:88" x14ac:dyDescent="0.25">
      <c r="BH572" s="21"/>
      <c r="BI572" s="21"/>
      <c r="BJ572" s="21"/>
      <c r="BK572" s="21"/>
      <c r="BL572" s="21"/>
      <c r="BM572" s="21"/>
      <c r="BN572" s="21"/>
      <c r="BO572" s="21"/>
      <c r="BQ572" s="21"/>
      <c r="BR572" s="21"/>
      <c r="BS572" s="21"/>
      <c r="BU572" s="21"/>
      <c r="BX572" s="21"/>
      <c r="CG572" s="21"/>
      <c r="CH572" s="21"/>
      <c r="CI572" s="21"/>
      <c r="CJ572" s="21"/>
    </row>
    <row r="573" spans="60:88" x14ac:dyDescent="0.25">
      <c r="BH573" s="21"/>
      <c r="BI573" s="21"/>
      <c r="BJ573" s="21"/>
      <c r="BK573" s="21"/>
      <c r="BL573" s="21"/>
      <c r="BM573" s="21"/>
      <c r="BN573" s="21"/>
      <c r="BO573" s="21"/>
      <c r="BQ573" s="21"/>
      <c r="BR573" s="21"/>
      <c r="BS573" s="21"/>
      <c r="BU573" s="21"/>
      <c r="BX573" s="21"/>
      <c r="CG573" s="21"/>
      <c r="CH573" s="21"/>
      <c r="CI573" s="21"/>
      <c r="CJ573" s="21"/>
    </row>
    <row r="574" spans="60:88" x14ac:dyDescent="0.25">
      <c r="BH574" s="21"/>
      <c r="BI574" s="21"/>
      <c r="BJ574" s="21"/>
      <c r="BK574" s="21"/>
      <c r="BL574" s="21"/>
      <c r="BM574" s="21"/>
      <c r="BN574" s="21"/>
      <c r="BO574" s="21"/>
      <c r="BQ574" s="21"/>
      <c r="BR574" s="21"/>
      <c r="BS574" s="21"/>
      <c r="BU574" s="21"/>
      <c r="BX574" s="21"/>
      <c r="CG574" s="21"/>
      <c r="CH574" s="21"/>
      <c r="CI574" s="21"/>
      <c r="CJ574" s="21"/>
    </row>
    <row r="575" spans="60:88" x14ac:dyDescent="0.25">
      <c r="BH575" s="21"/>
      <c r="BI575" s="21"/>
      <c r="BJ575" s="21"/>
      <c r="BK575" s="21"/>
      <c r="BL575" s="21"/>
      <c r="BM575" s="21"/>
      <c r="BN575" s="21"/>
      <c r="BO575" s="21"/>
      <c r="BQ575" s="21"/>
      <c r="BR575" s="21"/>
      <c r="BS575" s="21"/>
      <c r="BU575" s="21"/>
      <c r="BX575" s="21"/>
      <c r="CG575" s="21"/>
      <c r="CH575" s="21"/>
      <c r="CI575" s="21"/>
      <c r="CJ575" s="21"/>
    </row>
    <row r="576" spans="60:88" x14ac:dyDescent="0.25">
      <c r="BH576" s="21"/>
      <c r="BI576" s="21"/>
      <c r="BJ576" s="21"/>
      <c r="BK576" s="21"/>
      <c r="BL576" s="21"/>
      <c r="BM576" s="21"/>
      <c r="BN576" s="21"/>
      <c r="BO576" s="21"/>
      <c r="BQ576" s="21"/>
      <c r="BR576" s="21"/>
      <c r="BS576" s="21"/>
      <c r="BU576" s="21"/>
      <c r="BX576" s="21"/>
      <c r="CG576" s="21"/>
      <c r="CH576" s="21"/>
      <c r="CI576" s="21"/>
      <c r="CJ576" s="21"/>
    </row>
    <row r="577" spans="60:88" x14ac:dyDescent="0.25">
      <c r="BH577" s="21"/>
      <c r="BI577" s="21"/>
      <c r="BJ577" s="21"/>
      <c r="BK577" s="21"/>
      <c r="BL577" s="21"/>
      <c r="BM577" s="21"/>
      <c r="BN577" s="21"/>
      <c r="BO577" s="21"/>
      <c r="BQ577" s="21"/>
      <c r="BR577" s="21"/>
      <c r="BS577" s="21"/>
      <c r="BU577" s="21"/>
      <c r="BX577" s="21"/>
      <c r="CG577" s="21"/>
      <c r="CH577" s="21"/>
      <c r="CI577" s="21"/>
      <c r="CJ577" s="21"/>
    </row>
    <row r="578" spans="60:88" x14ac:dyDescent="0.25">
      <c r="BH578" s="21"/>
      <c r="BI578" s="21"/>
      <c r="BJ578" s="21"/>
      <c r="BK578" s="21"/>
      <c r="BL578" s="21"/>
      <c r="BM578" s="21"/>
      <c r="BN578" s="21"/>
      <c r="BO578" s="21"/>
      <c r="BQ578" s="21"/>
      <c r="BR578" s="21"/>
      <c r="BS578" s="21"/>
      <c r="BU578" s="21"/>
      <c r="BX578" s="21"/>
      <c r="CG578" s="21"/>
      <c r="CH578" s="21"/>
      <c r="CI578" s="21"/>
      <c r="CJ578" s="21"/>
    </row>
    <row r="579" spans="60:88" x14ac:dyDescent="0.25">
      <c r="BH579" s="21"/>
      <c r="BI579" s="21"/>
      <c r="BJ579" s="21"/>
      <c r="BK579" s="21"/>
      <c r="BL579" s="21"/>
      <c r="BM579" s="21"/>
      <c r="BN579" s="21"/>
      <c r="BO579" s="21"/>
      <c r="BQ579" s="21"/>
      <c r="BR579" s="21"/>
      <c r="BS579" s="21"/>
      <c r="BU579" s="21"/>
      <c r="BX579" s="21"/>
      <c r="CG579" s="21"/>
      <c r="CH579" s="21"/>
      <c r="CI579" s="21"/>
      <c r="CJ579" s="21"/>
    </row>
    <row r="580" spans="60:88" x14ac:dyDescent="0.25">
      <c r="BH580" s="21"/>
      <c r="BI580" s="21"/>
      <c r="BJ580" s="21"/>
      <c r="BK580" s="21"/>
      <c r="BL580" s="21"/>
      <c r="BM580" s="21"/>
      <c r="BN580" s="21"/>
      <c r="BO580" s="21"/>
      <c r="BQ580" s="21"/>
      <c r="BR580" s="21"/>
      <c r="BS580" s="21"/>
      <c r="BU580" s="21"/>
      <c r="BX580" s="21"/>
      <c r="CG580" s="21"/>
      <c r="CH580" s="21"/>
      <c r="CI580" s="21"/>
      <c r="CJ580" s="21"/>
    </row>
    <row r="581" spans="60:88" x14ac:dyDescent="0.25">
      <c r="BH581" s="21"/>
      <c r="BI581" s="21"/>
      <c r="BJ581" s="21"/>
      <c r="BK581" s="21"/>
      <c r="BL581" s="21"/>
      <c r="BM581" s="21"/>
      <c r="BN581" s="21"/>
      <c r="BO581" s="21"/>
      <c r="BQ581" s="21"/>
      <c r="BR581" s="21"/>
      <c r="BS581" s="21"/>
      <c r="BU581" s="21"/>
      <c r="BX581" s="21"/>
      <c r="CG581" s="21"/>
      <c r="CH581" s="21"/>
      <c r="CI581" s="21"/>
      <c r="CJ581" s="21"/>
    </row>
    <row r="582" spans="60:88" x14ac:dyDescent="0.25">
      <c r="BH582" s="21"/>
      <c r="BI582" s="21"/>
      <c r="BJ582" s="21"/>
      <c r="BK582" s="21"/>
      <c r="BL582" s="21"/>
      <c r="BM582" s="21"/>
      <c r="BN582" s="21"/>
      <c r="BO582" s="21"/>
      <c r="BQ582" s="21"/>
      <c r="BR582" s="21"/>
      <c r="BS582" s="21"/>
      <c r="BU582" s="21"/>
      <c r="BX582" s="21"/>
      <c r="CG582" s="21"/>
      <c r="CH582" s="21"/>
      <c r="CI582" s="21"/>
      <c r="CJ582" s="21"/>
    </row>
    <row r="583" spans="60:88" x14ac:dyDescent="0.25">
      <c r="BH583" s="21"/>
      <c r="BI583" s="21"/>
      <c r="BJ583" s="21"/>
      <c r="BK583" s="21"/>
      <c r="BL583" s="21"/>
      <c r="BM583" s="21"/>
      <c r="BN583" s="21"/>
      <c r="BO583" s="21"/>
      <c r="BQ583" s="21"/>
      <c r="BR583" s="21"/>
      <c r="BS583" s="21"/>
      <c r="BU583" s="21"/>
      <c r="BX583" s="21"/>
      <c r="CG583" s="21"/>
      <c r="CH583" s="21"/>
      <c r="CI583" s="21"/>
      <c r="CJ583" s="21"/>
    </row>
    <row r="584" spans="60:88" x14ac:dyDescent="0.25">
      <c r="BH584" s="21"/>
      <c r="BI584" s="21"/>
      <c r="BJ584" s="21"/>
      <c r="BK584" s="21"/>
      <c r="BL584" s="21"/>
      <c r="BM584" s="21"/>
      <c r="BN584" s="21"/>
      <c r="BO584" s="21"/>
      <c r="BQ584" s="21"/>
      <c r="BR584" s="21"/>
      <c r="BS584" s="21"/>
      <c r="BU584" s="21"/>
      <c r="BX584" s="21"/>
      <c r="CG584" s="21"/>
      <c r="CH584" s="21"/>
      <c r="CI584" s="21"/>
      <c r="CJ584" s="21"/>
    </row>
    <row r="585" spans="60:88" x14ac:dyDescent="0.25">
      <c r="BH585" s="21"/>
      <c r="BI585" s="21"/>
      <c r="BJ585" s="21"/>
      <c r="BK585" s="21"/>
      <c r="BL585" s="21"/>
      <c r="BM585" s="21"/>
      <c r="BN585" s="21"/>
      <c r="BO585" s="21"/>
      <c r="BQ585" s="21"/>
      <c r="BR585" s="21"/>
      <c r="BS585" s="21"/>
      <c r="BU585" s="21"/>
      <c r="BX585" s="21"/>
      <c r="CG585" s="21"/>
      <c r="CH585" s="21"/>
      <c r="CI585" s="21"/>
      <c r="CJ585" s="21"/>
    </row>
    <row r="586" spans="60:88" x14ac:dyDescent="0.25">
      <c r="BH586" s="21"/>
      <c r="BI586" s="21"/>
      <c r="BJ586" s="21"/>
      <c r="BK586" s="21"/>
      <c r="BL586" s="21"/>
      <c r="BM586" s="21"/>
      <c r="BN586" s="21"/>
      <c r="BO586" s="21"/>
      <c r="BQ586" s="21"/>
      <c r="BR586" s="21"/>
      <c r="BS586" s="21"/>
      <c r="BU586" s="21"/>
      <c r="BX586" s="21"/>
      <c r="CG586" s="21"/>
      <c r="CH586" s="21"/>
      <c r="CI586" s="21"/>
      <c r="CJ586" s="21"/>
    </row>
    <row r="587" spans="60:88" x14ac:dyDescent="0.25">
      <c r="BH587" s="21"/>
      <c r="BI587" s="21"/>
      <c r="BJ587" s="21"/>
      <c r="BK587" s="21"/>
      <c r="BL587" s="21"/>
      <c r="BM587" s="21"/>
      <c r="BN587" s="21"/>
      <c r="BO587" s="21"/>
      <c r="BQ587" s="21"/>
      <c r="BR587" s="21"/>
      <c r="BS587" s="21"/>
      <c r="BU587" s="21"/>
      <c r="BX587" s="21"/>
      <c r="CG587" s="21"/>
      <c r="CH587" s="21"/>
      <c r="CI587" s="21"/>
      <c r="CJ587" s="21"/>
    </row>
    <row r="588" spans="60:88" x14ac:dyDescent="0.25">
      <c r="BH588" s="21"/>
      <c r="BI588" s="21"/>
      <c r="BJ588" s="21"/>
      <c r="BK588" s="21"/>
      <c r="BL588" s="21"/>
      <c r="BM588" s="21"/>
      <c r="BN588" s="21"/>
      <c r="BO588" s="21"/>
      <c r="BQ588" s="21"/>
      <c r="BR588" s="21"/>
      <c r="BS588" s="21"/>
      <c r="BU588" s="21"/>
      <c r="BX588" s="21"/>
      <c r="CG588" s="21"/>
      <c r="CH588" s="21"/>
      <c r="CI588" s="21"/>
      <c r="CJ588" s="21"/>
    </row>
    <row r="589" spans="60:88" x14ac:dyDescent="0.25">
      <c r="BH589" s="21"/>
      <c r="BI589" s="21"/>
      <c r="BJ589" s="21"/>
      <c r="BK589" s="21"/>
      <c r="BL589" s="21"/>
      <c r="BM589" s="21"/>
      <c r="BN589" s="21"/>
      <c r="BO589" s="21"/>
      <c r="BQ589" s="21"/>
      <c r="BR589" s="21"/>
      <c r="BS589" s="21"/>
      <c r="BU589" s="21"/>
      <c r="BX589" s="21"/>
      <c r="CG589" s="21"/>
      <c r="CH589" s="21"/>
      <c r="CI589" s="21"/>
      <c r="CJ589" s="21"/>
    </row>
    <row r="590" spans="60:88" x14ac:dyDescent="0.25">
      <c r="BH590" s="21"/>
      <c r="BI590" s="21"/>
      <c r="BJ590" s="21"/>
      <c r="BK590" s="21"/>
      <c r="BL590" s="21"/>
      <c r="BM590" s="21"/>
      <c r="BN590" s="21"/>
      <c r="BO590" s="21"/>
      <c r="BQ590" s="21"/>
      <c r="BR590" s="21"/>
      <c r="BS590" s="21"/>
      <c r="BU590" s="21"/>
      <c r="BX590" s="21"/>
      <c r="CG590" s="21"/>
      <c r="CH590" s="21"/>
      <c r="CI590" s="21"/>
      <c r="CJ590" s="21"/>
    </row>
    <row r="591" spans="60:88" x14ac:dyDescent="0.25">
      <c r="BH591" s="21"/>
      <c r="BI591" s="21"/>
      <c r="BJ591" s="21"/>
      <c r="BK591" s="21"/>
      <c r="BL591" s="21"/>
      <c r="BM591" s="21"/>
      <c r="BN591" s="21"/>
      <c r="BO591" s="21"/>
      <c r="BQ591" s="21"/>
      <c r="BR591" s="21"/>
      <c r="BS591" s="21"/>
      <c r="BU591" s="21"/>
      <c r="BX591" s="21"/>
      <c r="CG591" s="21"/>
      <c r="CH591" s="21"/>
      <c r="CI591" s="21"/>
      <c r="CJ591" s="21"/>
    </row>
    <row r="592" spans="60:88" x14ac:dyDescent="0.25">
      <c r="BH592" s="21"/>
      <c r="BI592" s="21"/>
      <c r="BJ592" s="21"/>
      <c r="BK592" s="21"/>
      <c r="BL592" s="21"/>
      <c r="BM592" s="21"/>
      <c r="BN592" s="21"/>
      <c r="BO592" s="21"/>
      <c r="BQ592" s="21"/>
      <c r="BR592" s="21"/>
      <c r="BS592" s="21"/>
      <c r="BU592" s="21"/>
      <c r="BX592" s="21"/>
      <c r="CG592" s="21"/>
      <c r="CH592" s="21"/>
      <c r="CI592" s="21"/>
      <c r="CJ592" s="21"/>
    </row>
    <row r="593" spans="60:88" x14ac:dyDescent="0.25">
      <c r="BH593" s="21"/>
      <c r="BI593" s="21"/>
      <c r="BJ593" s="21"/>
      <c r="BK593" s="21"/>
      <c r="BL593" s="21"/>
      <c r="BM593" s="21"/>
      <c r="BN593" s="21"/>
      <c r="BO593" s="21"/>
      <c r="BQ593" s="21"/>
      <c r="BR593" s="21"/>
      <c r="BS593" s="21"/>
      <c r="BU593" s="21"/>
      <c r="BX593" s="21"/>
      <c r="CG593" s="21"/>
      <c r="CH593" s="21"/>
      <c r="CI593" s="21"/>
      <c r="CJ593" s="21"/>
    </row>
    <row r="594" spans="60:88" x14ac:dyDescent="0.25">
      <c r="BH594" s="21"/>
      <c r="BI594" s="21"/>
      <c r="BJ594" s="21"/>
      <c r="BK594" s="21"/>
      <c r="BL594" s="21"/>
      <c r="BM594" s="21"/>
      <c r="BN594" s="21"/>
      <c r="BO594" s="21"/>
      <c r="BQ594" s="21"/>
      <c r="BR594" s="21"/>
      <c r="BS594" s="21"/>
      <c r="BU594" s="21"/>
      <c r="BX594" s="21"/>
      <c r="CG594" s="21"/>
      <c r="CH594" s="21"/>
      <c r="CI594" s="21"/>
      <c r="CJ594" s="21"/>
    </row>
    <row r="595" spans="60:88" x14ac:dyDescent="0.25">
      <c r="BH595" s="21"/>
      <c r="BI595" s="21"/>
      <c r="BJ595" s="21"/>
      <c r="BK595" s="21"/>
      <c r="BL595" s="21"/>
      <c r="BM595" s="21"/>
      <c r="BN595" s="21"/>
      <c r="BO595" s="21"/>
      <c r="BQ595" s="21"/>
      <c r="BR595" s="21"/>
      <c r="BS595" s="21"/>
      <c r="BU595" s="21"/>
      <c r="BX595" s="21"/>
      <c r="CG595" s="21"/>
      <c r="CH595" s="21"/>
      <c r="CI595" s="21"/>
      <c r="CJ595" s="21"/>
    </row>
    <row r="596" spans="60:88" x14ac:dyDescent="0.25">
      <c r="BH596" s="21"/>
      <c r="BI596" s="21"/>
      <c r="BJ596" s="21"/>
      <c r="BK596" s="21"/>
      <c r="BL596" s="21"/>
      <c r="BM596" s="21"/>
      <c r="BN596" s="21"/>
      <c r="BO596" s="21"/>
      <c r="BQ596" s="21"/>
      <c r="BR596" s="21"/>
      <c r="BS596" s="21"/>
      <c r="BU596" s="21"/>
      <c r="BX596" s="21"/>
      <c r="CG596" s="21"/>
      <c r="CH596" s="21"/>
      <c r="CI596" s="21"/>
      <c r="CJ596" s="21"/>
    </row>
    <row r="597" spans="60:88" x14ac:dyDescent="0.25">
      <c r="BH597" s="21"/>
      <c r="BI597" s="21"/>
      <c r="BJ597" s="21"/>
      <c r="BK597" s="21"/>
      <c r="BL597" s="21"/>
      <c r="BM597" s="21"/>
      <c r="BN597" s="21"/>
      <c r="BO597" s="21"/>
      <c r="BQ597" s="21"/>
      <c r="BR597" s="21"/>
      <c r="BS597" s="21"/>
      <c r="BU597" s="21"/>
      <c r="BX597" s="21"/>
      <c r="CG597" s="21"/>
      <c r="CH597" s="21"/>
      <c r="CI597" s="21"/>
      <c r="CJ597" s="21"/>
    </row>
    <row r="598" spans="60:88" x14ac:dyDescent="0.25">
      <c r="BH598" s="21"/>
      <c r="BI598" s="21"/>
      <c r="BJ598" s="21"/>
      <c r="BK598" s="21"/>
      <c r="BL598" s="21"/>
      <c r="BM598" s="21"/>
      <c r="BN598" s="21"/>
      <c r="BO598" s="21"/>
      <c r="BQ598" s="21"/>
      <c r="BR598" s="21"/>
      <c r="BS598" s="21"/>
      <c r="BU598" s="21"/>
      <c r="BX598" s="21"/>
      <c r="CG598" s="21"/>
      <c r="CH598" s="21"/>
      <c r="CI598" s="21"/>
      <c r="CJ598" s="21"/>
    </row>
    <row r="599" spans="60:88" x14ac:dyDescent="0.25">
      <c r="BH599" s="21"/>
      <c r="BI599" s="21"/>
      <c r="BJ599" s="21"/>
      <c r="BK599" s="21"/>
      <c r="BL599" s="21"/>
      <c r="BM599" s="21"/>
      <c r="BN599" s="21"/>
      <c r="BO599" s="21"/>
      <c r="BQ599" s="21"/>
      <c r="BR599" s="21"/>
      <c r="BS599" s="21"/>
      <c r="BU599" s="21"/>
      <c r="BX599" s="21"/>
      <c r="CG599" s="21"/>
      <c r="CH599" s="21"/>
      <c r="CI599" s="21"/>
      <c r="CJ599" s="21"/>
    </row>
    <row r="600" spans="60:88" x14ac:dyDescent="0.25">
      <c r="BH600" s="21"/>
      <c r="BI600" s="21"/>
      <c r="BJ600" s="21"/>
      <c r="BK600" s="21"/>
      <c r="BL600" s="21"/>
      <c r="BM600" s="21"/>
      <c r="BN600" s="21"/>
      <c r="BO600" s="21"/>
      <c r="BQ600" s="21"/>
      <c r="BR600" s="21"/>
      <c r="BS600" s="21"/>
      <c r="BU600" s="21"/>
      <c r="BX600" s="21"/>
      <c r="CG600" s="21"/>
      <c r="CH600" s="21"/>
      <c r="CI600" s="21"/>
      <c r="CJ600" s="21"/>
    </row>
    <row r="601" spans="60:88" x14ac:dyDescent="0.25">
      <c r="BH601" s="21"/>
      <c r="BI601" s="21"/>
      <c r="BJ601" s="21"/>
      <c r="BK601" s="21"/>
      <c r="BL601" s="21"/>
      <c r="BM601" s="21"/>
      <c r="BN601" s="21"/>
      <c r="BO601" s="21"/>
      <c r="BQ601" s="21"/>
      <c r="BR601" s="21"/>
      <c r="BS601" s="21"/>
      <c r="BU601" s="21"/>
      <c r="BX601" s="21"/>
      <c r="CG601" s="21"/>
      <c r="CH601" s="21"/>
      <c r="CI601" s="21"/>
      <c r="CJ601" s="21"/>
    </row>
    <row r="602" spans="60:88" x14ac:dyDescent="0.25">
      <c r="BH602" s="21"/>
      <c r="BI602" s="21"/>
      <c r="BJ602" s="21"/>
      <c r="BK602" s="21"/>
      <c r="BL602" s="21"/>
      <c r="BM602" s="21"/>
      <c r="BN602" s="21"/>
      <c r="BO602" s="21"/>
      <c r="BQ602" s="21"/>
      <c r="BR602" s="21"/>
      <c r="BS602" s="21"/>
      <c r="BU602" s="21"/>
      <c r="BX602" s="21"/>
      <c r="CG602" s="21"/>
      <c r="CH602" s="21"/>
      <c r="CI602" s="21"/>
      <c r="CJ602" s="21"/>
    </row>
    <row r="603" spans="60:88" x14ac:dyDescent="0.25">
      <c r="BH603" s="21"/>
      <c r="BI603" s="21"/>
      <c r="BJ603" s="21"/>
      <c r="BK603" s="21"/>
      <c r="BL603" s="21"/>
      <c r="BM603" s="21"/>
      <c r="BN603" s="21"/>
      <c r="BO603" s="21"/>
      <c r="BQ603" s="21"/>
      <c r="BR603" s="21"/>
      <c r="BS603" s="21"/>
      <c r="BU603" s="21"/>
      <c r="BX603" s="21"/>
      <c r="CG603" s="21"/>
      <c r="CH603" s="21"/>
      <c r="CI603" s="21"/>
      <c r="CJ603" s="21"/>
    </row>
    <row r="604" spans="60:88" x14ac:dyDescent="0.25">
      <c r="BH604" s="21"/>
      <c r="BI604" s="21"/>
      <c r="BJ604" s="21"/>
      <c r="BK604" s="21"/>
      <c r="BL604" s="21"/>
      <c r="BM604" s="21"/>
      <c r="BN604" s="21"/>
      <c r="BO604" s="21"/>
      <c r="BQ604" s="21"/>
      <c r="BR604" s="21"/>
      <c r="BS604" s="21"/>
      <c r="BU604" s="21"/>
      <c r="BX604" s="21"/>
      <c r="CG604" s="21"/>
      <c r="CH604" s="21"/>
      <c r="CI604" s="21"/>
      <c r="CJ604" s="21"/>
    </row>
    <row r="605" spans="60:88" x14ac:dyDescent="0.25">
      <c r="BH605" s="21"/>
      <c r="BI605" s="21"/>
      <c r="BJ605" s="21"/>
      <c r="BK605" s="21"/>
      <c r="BL605" s="21"/>
      <c r="BM605" s="21"/>
      <c r="BN605" s="21"/>
      <c r="BO605" s="21"/>
      <c r="BQ605" s="21"/>
      <c r="BR605" s="21"/>
      <c r="BS605" s="21"/>
      <c r="BU605" s="21"/>
      <c r="BX605" s="21"/>
      <c r="CG605" s="21"/>
      <c r="CH605" s="21"/>
      <c r="CI605" s="21"/>
      <c r="CJ605" s="21"/>
    </row>
    <row r="606" spans="60:88" x14ac:dyDescent="0.25">
      <c r="BH606" s="21"/>
      <c r="BI606" s="21"/>
      <c r="BJ606" s="21"/>
      <c r="BK606" s="21"/>
      <c r="BL606" s="21"/>
      <c r="BM606" s="21"/>
      <c r="BN606" s="21"/>
      <c r="BO606" s="21"/>
      <c r="BQ606" s="21"/>
      <c r="BR606" s="21"/>
      <c r="BS606" s="21"/>
      <c r="BU606" s="21"/>
      <c r="BX606" s="21"/>
      <c r="CG606" s="21"/>
      <c r="CH606" s="21"/>
      <c r="CI606" s="21"/>
      <c r="CJ606" s="21"/>
    </row>
    <row r="607" spans="60:88" x14ac:dyDescent="0.25">
      <c r="BH607" s="21"/>
      <c r="BI607" s="21"/>
      <c r="BJ607" s="21"/>
      <c r="BK607" s="21"/>
      <c r="BL607" s="21"/>
      <c r="BM607" s="21"/>
      <c r="BN607" s="21"/>
      <c r="BO607" s="21"/>
      <c r="BQ607" s="21"/>
      <c r="BR607" s="21"/>
      <c r="BS607" s="21"/>
      <c r="BU607" s="21"/>
      <c r="BX607" s="21"/>
      <c r="CG607" s="21"/>
      <c r="CH607" s="21"/>
      <c r="CI607" s="21"/>
      <c r="CJ607" s="21"/>
    </row>
    <row r="608" spans="60:88" x14ac:dyDescent="0.25">
      <c r="BH608" s="21"/>
      <c r="BI608" s="21"/>
      <c r="BJ608" s="21"/>
      <c r="BK608" s="21"/>
      <c r="BL608" s="21"/>
      <c r="BM608" s="21"/>
      <c r="BN608" s="21"/>
      <c r="BO608" s="21"/>
      <c r="BQ608" s="21"/>
      <c r="BR608" s="21"/>
      <c r="BS608" s="21"/>
      <c r="BU608" s="21"/>
      <c r="BX608" s="21"/>
      <c r="CG608" s="21"/>
      <c r="CH608" s="21"/>
      <c r="CI608" s="21"/>
      <c r="CJ608" s="21"/>
    </row>
    <row r="609" spans="60:88" x14ac:dyDescent="0.25">
      <c r="BH609" s="21"/>
      <c r="BI609" s="21"/>
      <c r="BJ609" s="21"/>
      <c r="BK609" s="21"/>
      <c r="BL609" s="21"/>
      <c r="BM609" s="21"/>
      <c r="BN609" s="21"/>
      <c r="BO609" s="21"/>
      <c r="BQ609" s="21"/>
      <c r="BR609" s="21"/>
      <c r="BS609" s="21"/>
      <c r="BU609" s="21"/>
      <c r="BX609" s="21"/>
      <c r="CG609" s="21"/>
      <c r="CH609" s="21"/>
      <c r="CI609" s="21"/>
      <c r="CJ609" s="21"/>
    </row>
    <row r="610" spans="60:88" x14ac:dyDescent="0.25">
      <c r="BH610" s="21"/>
      <c r="BI610" s="21"/>
      <c r="BJ610" s="21"/>
      <c r="BK610" s="21"/>
      <c r="BL610" s="21"/>
      <c r="BM610" s="21"/>
      <c r="BN610" s="21"/>
      <c r="BO610" s="21"/>
      <c r="BQ610" s="21"/>
      <c r="BR610" s="21"/>
      <c r="BS610" s="21"/>
      <c r="BU610" s="21"/>
      <c r="BX610" s="21"/>
      <c r="CG610" s="21"/>
      <c r="CH610" s="21"/>
      <c r="CI610" s="21"/>
      <c r="CJ610" s="21"/>
    </row>
    <row r="611" spans="60:88" x14ac:dyDescent="0.25">
      <c r="BH611" s="21"/>
      <c r="BI611" s="21"/>
      <c r="BJ611" s="21"/>
      <c r="BK611" s="21"/>
      <c r="BL611" s="21"/>
      <c r="BM611" s="21"/>
      <c r="BN611" s="21"/>
      <c r="BO611" s="21"/>
      <c r="BQ611" s="21"/>
      <c r="BR611" s="21"/>
      <c r="BS611" s="21"/>
      <c r="BU611" s="21"/>
      <c r="BX611" s="21"/>
      <c r="CG611" s="21"/>
      <c r="CH611" s="21"/>
      <c r="CI611" s="21"/>
      <c r="CJ611" s="21"/>
    </row>
    <row r="612" spans="60:88" x14ac:dyDescent="0.25">
      <c r="BH612" s="21"/>
      <c r="BI612" s="21"/>
      <c r="BJ612" s="21"/>
      <c r="BK612" s="21"/>
      <c r="BL612" s="21"/>
      <c r="BM612" s="21"/>
      <c r="BN612" s="21"/>
      <c r="BO612" s="21"/>
      <c r="BQ612" s="21"/>
      <c r="BR612" s="21"/>
      <c r="BS612" s="21"/>
      <c r="BU612" s="21"/>
      <c r="BX612" s="21"/>
      <c r="CG612" s="21"/>
      <c r="CH612" s="21"/>
      <c r="CI612" s="21"/>
      <c r="CJ612" s="21"/>
    </row>
    <row r="613" spans="60:88" x14ac:dyDescent="0.25">
      <c r="BH613" s="21"/>
      <c r="BI613" s="21"/>
      <c r="BJ613" s="21"/>
      <c r="BK613" s="21"/>
      <c r="BL613" s="21"/>
      <c r="BM613" s="21"/>
      <c r="BN613" s="21"/>
      <c r="BO613" s="21"/>
      <c r="BQ613" s="21"/>
      <c r="BR613" s="21"/>
      <c r="BS613" s="21"/>
      <c r="BU613" s="21"/>
      <c r="BX613" s="21"/>
      <c r="CG613" s="21"/>
      <c r="CH613" s="21"/>
      <c r="CI613" s="21"/>
      <c r="CJ613" s="21"/>
    </row>
    <row r="614" spans="60:88" x14ac:dyDescent="0.25">
      <c r="BH614" s="21"/>
      <c r="BI614" s="21"/>
      <c r="BJ614" s="21"/>
      <c r="BK614" s="21"/>
      <c r="BL614" s="21"/>
      <c r="BM614" s="21"/>
      <c r="BN614" s="21"/>
      <c r="BO614" s="21"/>
      <c r="BQ614" s="21"/>
      <c r="BR614" s="21"/>
      <c r="BS614" s="21"/>
      <c r="BU614" s="21"/>
      <c r="BX614" s="21"/>
      <c r="CG614" s="21"/>
      <c r="CH614" s="21"/>
      <c r="CI614" s="21"/>
      <c r="CJ614" s="21"/>
    </row>
    <row r="615" spans="60:88" x14ac:dyDescent="0.25">
      <c r="BH615" s="21"/>
      <c r="BI615" s="21"/>
      <c r="BJ615" s="21"/>
      <c r="BK615" s="21"/>
      <c r="BL615" s="21"/>
      <c r="BM615" s="21"/>
      <c r="BN615" s="21"/>
      <c r="BO615" s="21"/>
      <c r="BQ615" s="21"/>
      <c r="BR615" s="21"/>
      <c r="BS615" s="21"/>
      <c r="BU615" s="21"/>
      <c r="BX615" s="21"/>
      <c r="CG615" s="21"/>
      <c r="CH615" s="21"/>
      <c r="CI615" s="21"/>
      <c r="CJ615" s="21"/>
    </row>
    <row r="616" spans="60:88" x14ac:dyDescent="0.25">
      <c r="BH616" s="21"/>
      <c r="BI616" s="21"/>
      <c r="BJ616" s="21"/>
      <c r="BK616" s="21"/>
      <c r="BL616" s="21"/>
      <c r="BM616" s="21"/>
      <c r="BN616" s="21"/>
      <c r="BO616" s="21"/>
      <c r="BQ616" s="21"/>
      <c r="BR616" s="21"/>
      <c r="BS616" s="21"/>
      <c r="BU616" s="21"/>
      <c r="BX616" s="21"/>
      <c r="CG616" s="21"/>
      <c r="CH616" s="21"/>
      <c r="CI616" s="21"/>
      <c r="CJ616" s="21"/>
    </row>
    <row r="617" spans="60:88" x14ac:dyDescent="0.25">
      <c r="BH617" s="21"/>
      <c r="BI617" s="21"/>
      <c r="BJ617" s="21"/>
      <c r="BK617" s="21"/>
      <c r="BL617" s="21"/>
      <c r="BM617" s="21"/>
      <c r="BN617" s="21"/>
      <c r="BO617" s="21"/>
      <c r="BQ617" s="21"/>
      <c r="BR617" s="21"/>
      <c r="BS617" s="21"/>
      <c r="BU617" s="21"/>
      <c r="BX617" s="21"/>
      <c r="CG617" s="21"/>
      <c r="CH617" s="21"/>
      <c r="CI617" s="21"/>
      <c r="CJ617" s="21"/>
    </row>
    <row r="618" spans="60:88" x14ac:dyDescent="0.25">
      <c r="BH618" s="21"/>
      <c r="BI618" s="21"/>
      <c r="BJ618" s="21"/>
      <c r="BK618" s="21"/>
      <c r="BL618" s="21"/>
      <c r="BM618" s="21"/>
      <c r="BN618" s="21"/>
      <c r="BO618" s="21"/>
      <c r="BQ618" s="21"/>
      <c r="BR618" s="21"/>
      <c r="BS618" s="21"/>
      <c r="BU618" s="21"/>
      <c r="BX618" s="21"/>
      <c r="CG618" s="21"/>
      <c r="CH618" s="21"/>
      <c r="CI618" s="21"/>
      <c r="CJ618" s="21"/>
    </row>
    <row r="619" spans="60:88" x14ac:dyDescent="0.25">
      <c r="BH619" s="21"/>
      <c r="BI619" s="21"/>
      <c r="BJ619" s="21"/>
      <c r="BK619" s="21"/>
      <c r="BL619" s="21"/>
      <c r="BM619" s="21"/>
      <c r="BN619" s="21"/>
      <c r="BO619" s="21"/>
      <c r="BQ619" s="21"/>
      <c r="BR619" s="21"/>
      <c r="BS619" s="21"/>
      <c r="BU619" s="21"/>
      <c r="BX619" s="21"/>
      <c r="CG619" s="21"/>
      <c r="CH619" s="21"/>
      <c r="CI619" s="21"/>
      <c r="CJ619" s="21"/>
    </row>
    <row r="620" spans="60:88" x14ac:dyDescent="0.25">
      <c r="BH620" s="21"/>
      <c r="BI620" s="21"/>
      <c r="BJ620" s="21"/>
      <c r="BK620" s="21"/>
      <c r="BL620" s="21"/>
      <c r="BM620" s="21"/>
      <c r="BN620" s="21"/>
      <c r="BO620" s="21"/>
      <c r="BQ620" s="21"/>
      <c r="BR620" s="21"/>
      <c r="BS620" s="21"/>
      <c r="BU620" s="21"/>
      <c r="BX620" s="21"/>
      <c r="CG620" s="21"/>
      <c r="CH620" s="21"/>
      <c r="CI620" s="21"/>
      <c r="CJ620" s="21"/>
    </row>
    <row r="621" spans="60:88" x14ac:dyDescent="0.25">
      <c r="BH621" s="21"/>
      <c r="BI621" s="21"/>
      <c r="BJ621" s="21"/>
      <c r="BK621" s="21"/>
      <c r="BL621" s="21"/>
      <c r="BM621" s="21"/>
      <c r="BN621" s="21"/>
      <c r="BO621" s="21"/>
      <c r="BQ621" s="21"/>
      <c r="BR621" s="21"/>
      <c r="BS621" s="21"/>
      <c r="BU621" s="21"/>
      <c r="BX621" s="21"/>
      <c r="CG621" s="21"/>
      <c r="CH621" s="21"/>
      <c r="CI621" s="21"/>
      <c r="CJ621" s="21"/>
    </row>
    <row r="622" spans="60:88" x14ac:dyDescent="0.25">
      <c r="BH622" s="21"/>
      <c r="BI622" s="21"/>
      <c r="BJ622" s="21"/>
      <c r="BK622" s="21"/>
      <c r="BL622" s="21"/>
      <c r="BM622" s="21"/>
      <c r="BN622" s="21"/>
      <c r="BO622" s="21"/>
      <c r="BQ622" s="21"/>
      <c r="BR622" s="21"/>
      <c r="BS622" s="21"/>
      <c r="BU622" s="21"/>
      <c r="BX622" s="21"/>
      <c r="CG622" s="21"/>
      <c r="CH622" s="21"/>
      <c r="CI622" s="21"/>
      <c r="CJ622" s="21"/>
    </row>
    <row r="623" spans="60:88" x14ac:dyDescent="0.25">
      <c r="BH623" s="21"/>
      <c r="BI623" s="21"/>
      <c r="BJ623" s="21"/>
      <c r="BK623" s="21"/>
      <c r="BL623" s="21"/>
      <c r="BM623" s="21"/>
      <c r="BN623" s="21"/>
      <c r="BO623" s="21"/>
      <c r="BQ623" s="21"/>
      <c r="BR623" s="21"/>
      <c r="BS623" s="21"/>
      <c r="BU623" s="21"/>
      <c r="BX623" s="21"/>
      <c r="CG623" s="21"/>
      <c r="CH623" s="21"/>
      <c r="CI623" s="21"/>
      <c r="CJ623" s="21"/>
    </row>
    <row r="624" spans="60:88" x14ac:dyDescent="0.25">
      <c r="BH624" s="21"/>
      <c r="BI624" s="21"/>
      <c r="BJ624" s="21"/>
      <c r="BK624" s="21"/>
      <c r="BL624" s="21"/>
      <c r="BM624" s="21"/>
      <c r="BN624" s="21"/>
      <c r="BO624" s="21"/>
      <c r="BQ624" s="21"/>
      <c r="BR624" s="21"/>
      <c r="BS624" s="21"/>
      <c r="BU624" s="21"/>
      <c r="BX624" s="21"/>
      <c r="CG624" s="21"/>
      <c r="CH624" s="21"/>
      <c r="CI624" s="21"/>
      <c r="CJ624" s="21"/>
    </row>
    <row r="625" spans="60:88" x14ac:dyDescent="0.25">
      <c r="BH625" s="21"/>
      <c r="BI625" s="21"/>
      <c r="BJ625" s="21"/>
      <c r="BK625" s="21"/>
      <c r="BL625" s="21"/>
      <c r="BM625" s="21"/>
      <c r="BN625" s="21"/>
      <c r="BO625" s="21"/>
      <c r="BQ625" s="21"/>
      <c r="BR625" s="21"/>
      <c r="BS625" s="21"/>
      <c r="BU625" s="21"/>
      <c r="BX625" s="21"/>
      <c r="CG625" s="21"/>
      <c r="CH625" s="21"/>
      <c r="CI625" s="21"/>
      <c r="CJ625" s="21"/>
    </row>
    <row r="626" spans="60:88" x14ac:dyDescent="0.25">
      <c r="BH626" s="21"/>
      <c r="BI626" s="21"/>
      <c r="BJ626" s="21"/>
      <c r="BK626" s="21"/>
      <c r="BL626" s="21"/>
      <c r="BM626" s="21"/>
      <c r="BN626" s="21"/>
      <c r="BO626" s="21"/>
      <c r="BQ626" s="21"/>
      <c r="BR626" s="21"/>
      <c r="BS626" s="21"/>
      <c r="BU626" s="21"/>
      <c r="BX626" s="21"/>
      <c r="CG626" s="21"/>
      <c r="CH626" s="21"/>
      <c r="CI626" s="21"/>
      <c r="CJ626" s="21"/>
    </row>
    <row r="627" spans="60:88" x14ac:dyDescent="0.25">
      <c r="BH627" s="21"/>
      <c r="BI627" s="21"/>
      <c r="BJ627" s="21"/>
      <c r="BK627" s="21"/>
      <c r="BL627" s="21"/>
      <c r="BM627" s="21"/>
      <c r="BN627" s="21"/>
      <c r="BO627" s="21"/>
      <c r="BQ627" s="21"/>
      <c r="BR627" s="21"/>
      <c r="BS627" s="21"/>
      <c r="BU627" s="21"/>
      <c r="BX627" s="21"/>
      <c r="CG627" s="21"/>
      <c r="CH627" s="21"/>
      <c r="CI627" s="21"/>
      <c r="CJ627" s="21"/>
    </row>
    <row r="628" spans="60:88" x14ac:dyDescent="0.25">
      <c r="BH628" s="21"/>
      <c r="BI628" s="21"/>
      <c r="BJ628" s="21"/>
      <c r="BK628" s="21"/>
      <c r="BL628" s="21"/>
      <c r="BM628" s="21"/>
      <c r="BN628" s="21"/>
      <c r="BO628" s="21"/>
      <c r="BQ628" s="21"/>
      <c r="BR628" s="21"/>
      <c r="BS628" s="21"/>
      <c r="BU628" s="21"/>
      <c r="BX628" s="21"/>
      <c r="CG628" s="21"/>
      <c r="CH628" s="21"/>
      <c r="CI628" s="21"/>
      <c r="CJ628" s="21"/>
    </row>
    <row r="629" spans="60:88" x14ac:dyDescent="0.25">
      <c r="BH629" s="21"/>
      <c r="BI629" s="21"/>
      <c r="BJ629" s="21"/>
      <c r="BK629" s="21"/>
      <c r="BL629" s="21"/>
      <c r="BM629" s="21"/>
      <c r="BN629" s="21"/>
      <c r="BO629" s="21"/>
      <c r="BQ629" s="21"/>
      <c r="BR629" s="21"/>
      <c r="BS629" s="21"/>
      <c r="BU629" s="21"/>
      <c r="BX629" s="21"/>
      <c r="CG629" s="21"/>
      <c r="CH629" s="21"/>
      <c r="CI629" s="21"/>
      <c r="CJ629" s="21"/>
    </row>
    <row r="630" spans="60:88" x14ac:dyDescent="0.25">
      <c r="BH630" s="21"/>
      <c r="BI630" s="21"/>
      <c r="BJ630" s="21"/>
      <c r="BK630" s="21"/>
      <c r="BL630" s="21"/>
      <c r="BM630" s="21"/>
      <c r="BN630" s="21"/>
      <c r="BO630" s="21"/>
      <c r="BQ630" s="21"/>
      <c r="BR630" s="21"/>
      <c r="BS630" s="21"/>
      <c r="BU630" s="21"/>
      <c r="BX630" s="21"/>
      <c r="CG630" s="21"/>
      <c r="CH630" s="21"/>
      <c r="CI630" s="21"/>
      <c r="CJ630" s="21"/>
    </row>
    <row r="631" spans="60:88" x14ac:dyDescent="0.25">
      <c r="BH631" s="21"/>
      <c r="BI631" s="21"/>
      <c r="BJ631" s="21"/>
      <c r="BK631" s="21"/>
      <c r="BL631" s="21"/>
      <c r="BM631" s="21"/>
      <c r="BN631" s="21"/>
      <c r="BO631" s="21"/>
      <c r="BQ631" s="21"/>
      <c r="BR631" s="21"/>
      <c r="BS631" s="21"/>
      <c r="BU631" s="21"/>
      <c r="BX631" s="21"/>
      <c r="CG631" s="21"/>
      <c r="CH631" s="21"/>
      <c r="CI631" s="21"/>
      <c r="CJ631" s="21"/>
    </row>
    <row r="632" spans="60:88" x14ac:dyDescent="0.25">
      <c r="BH632" s="21"/>
      <c r="BI632" s="21"/>
      <c r="BJ632" s="21"/>
      <c r="BK632" s="21"/>
      <c r="BL632" s="21"/>
      <c r="BM632" s="21"/>
      <c r="BN632" s="21"/>
      <c r="BO632" s="21"/>
      <c r="BQ632" s="21"/>
      <c r="BR632" s="21"/>
      <c r="BS632" s="21"/>
      <c r="BU632" s="21"/>
      <c r="BX632" s="21"/>
      <c r="CG632" s="21"/>
      <c r="CH632" s="21"/>
      <c r="CI632" s="21"/>
      <c r="CJ632" s="21"/>
    </row>
    <row r="633" spans="60:88" x14ac:dyDescent="0.25">
      <c r="BH633" s="21"/>
      <c r="BI633" s="21"/>
      <c r="BJ633" s="21"/>
      <c r="BK633" s="21"/>
      <c r="BL633" s="21"/>
      <c r="BM633" s="21"/>
      <c r="BN633" s="21"/>
      <c r="BO633" s="21"/>
      <c r="BQ633" s="21"/>
      <c r="BR633" s="21"/>
      <c r="BS633" s="21"/>
      <c r="BU633" s="21"/>
      <c r="BX633" s="21"/>
      <c r="CG633" s="21"/>
      <c r="CH633" s="21"/>
      <c r="CI633" s="21"/>
      <c r="CJ633" s="21"/>
    </row>
    <row r="634" spans="60:88" x14ac:dyDescent="0.25">
      <c r="BH634" s="21"/>
      <c r="BI634" s="21"/>
      <c r="BJ634" s="21"/>
      <c r="BK634" s="21"/>
      <c r="BL634" s="21"/>
      <c r="BM634" s="21"/>
      <c r="BN634" s="21"/>
      <c r="BO634" s="21"/>
      <c r="BQ634" s="21"/>
      <c r="BR634" s="21"/>
      <c r="BS634" s="21"/>
      <c r="BU634" s="21"/>
      <c r="BX634" s="21"/>
      <c r="CG634" s="21"/>
      <c r="CH634" s="21"/>
      <c r="CI634" s="21"/>
      <c r="CJ634" s="21"/>
    </row>
    <row r="635" spans="60:88" x14ac:dyDescent="0.25">
      <c r="BH635" s="21"/>
      <c r="BI635" s="21"/>
      <c r="BJ635" s="21"/>
      <c r="BK635" s="21"/>
      <c r="BL635" s="21"/>
      <c r="BM635" s="21"/>
      <c r="BN635" s="21"/>
      <c r="BO635" s="21"/>
      <c r="BQ635" s="21"/>
      <c r="BR635" s="21"/>
      <c r="BS635" s="21"/>
      <c r="BU635" s="21"/>
      <c r="BX635" s="21"/>
      <c r="CG635" s="21"/>
      <c r="CH635" s="21"/>
      <c r="CI635" s="21"/>
      <c r="CJ635" s="21"/>
    </row>
    <row r="636" spans="60:88" x14ac:dyDescent="0.25">
      <c r="BH636" s="21"/>
      <c r="BI636" s="21"/>
      <c r="BJ636" s="21"/>
      <c r="BK636" s="21"/>
      <c r="BL636" s="21"/>
      <c r="BM636" s="21"/>
      <c r="BN636" s="21"/>
      <c r="BO636" s="21"/>
      <c r="BQ636" s="21"/>
      <c r="BR636" s="21"/>
      <c r="BS636" s="21"/>
      <c r="BU636" s="21"/>
      <c r="BX636" s="21"/>
      <c r="CG636" s="21"/>
      <c r="CH636" s="21"/>
      <c r="CI636" s="21"/>
      <c r="CJ636" s="21"/>
    </row>
    <row r="637" spans="60:88" x14ac:dyDescent="0.25">
      <c r="BH637" s="21"/>
      <c r="BI637" s="21"/>
      <c r="BJ637" s="21"/>
      <c r="BK637" s="21"/>
      <c r="BL637" s="21"/>
      <c r="BM637" s="21"/>
      <c r="BN637" s="21"/>
      <c r="BO637" s="21"/>
      <c r="BQ637" s="21"/>
      <c r="BR637" s="21"/>
      <c r="BS637" s="21"/>
      <c r="BU637" s="21"/>
      <c r="BX637" s="21"/>
      <c r="CG637" s="21"/>
      <c r="CH637" s="21"/>
      <c r="CI637" s="21"/>
      <c r="CJ637" s="21"/>
    </row>
    <row r="638" spans="60:88" x14ac:dyDescent="0.25">
      <c r="BH638" s="21"/>
      <c r="BI638" s="21"/>
      <c r="BJ638" s="21"/>
      <c r="BK638" s="21"/>
      <c r="BL638" s="21"/>
      <c r="BM638" s="21"/>
      <c r="BN638" s="21"/>
      <c r="BO638" s="21"/>
      <c r="BQ638" s="21"/>
      <c r="BR638" s="21"/>
      <c r="BS638" s="21"/>
      <c r="BU638" s="21"/>
      <c r="BX638" s="21"/>
      <c r="CG638" s="21"/>
      <c r="CH638" s="21"/>
      <c r="CI638" s="21"/>
      <c r="CJ638" s="21"/>
    </row>
    <row r="639" spans="60:88" x14ac:dyDescent="0.25">
      <c r="BH639" s="21"/>
      <c r="BI639" s="21"/>
      <c r="BJ639" s="21"/>
      <c r="BK639" s="21"/>
      <c r="BL639" s="21"/>
      <c r="BM639" s="21"/>
      <c r="BN639" s="21"/>
      <c r="BO639" s="21"/>
      <c r="BQ639" s="21"/>
      <c r="BR639" s="21"/>
      <c r="BS639" s="21"/>
      <c r="BU639" s="21"/>
      <c r="BX639" s="21"/>
      <c r="CG639" s="21"/>
      <c r="CH639" s="21"/>
      <c r="CI639" s="21"/>
      <c r="CJ639" s="21"/>
    </row>
    <row r="640" spans="60:88" x14ac:dyDescent="0.25">
      <c r="BH640" s="21"/>
      <c r="BI640" s="21"/>
      <c r="BJ640" s="21"/>
      <c r="BK640" s="21"/>
      <c r="BL640" s="21"/>
      <c r="BM640" s="21"/>
      <c r="BN640" s="21"/>
      <c r="BO640" s="21"/>
      <c r="BQ640" s="21"/>
      <c r="BR640" s="21"/>
      <c r="BS640" s="21"/>
      <c r="BU640" s="21"/>
      <c r="BX640" s="21"/>
      <c r="CG640" s="21"/>
      <c r="CH640" s="21"/>
      <c r="CI640" s="21"/>
      <c r="CJ640" s="21"/>
    </row>
    <row r="641" spans="60:88" x14ac:dyDescent="0.25">
      <c r="BH641" s="21"/>
      <c r="BI641" s="21"/>
      <c r="BJ641" s="21"/>
      <c r="BK641" s="21"/>
      <c r="BL641" s="21"/>
      <c r="BM641" s="21"/>
      <c r="BN641" s="21"/>
      <c r="BO641" s="21"/>
      <c r="BQ641" s="21"/>
      <c r="BR641" s="21"/>
      <c r="BS641" s="21"/>
      <c r="BU641" s="21"/>
      <c r="BX641" s="21"/>
      <c r="CG641" s="21"/>
      <c r="CH641" s="21"/>
      <c r="CI641" s="21"/>
      <c r="CJ641" s="21"/>
    </row>
    <row r="642" spans="60:88" x14ac:dyDescent="0.25">
      <c r="BH642" s="21"/>
      <c r="BI642" s="21"/>
      <c r="BJ642" s="21"/>
      <c r="BK642" s="21"/>
      <c r="BL642" s="21"/>
      <c r="BM642" s="21"/>
      <c r="BN642" s="21"/>
      <c r="BO642" s="21"/>
      <c r="BQ642" s="21"/>
      <c r="BR642" s="21"/>
      <c r="BS642" s="21"/>
      <c r="BU642" s="21"/>
      <c r="BX642" s="21"/>
      <c r="CG642" s="21"/>
      <c r="CH642" s="21"/>
      <c r="CI642" s="21"/>
      <c r="CJ642" s="21"/>
    </row>
    <row r="643" spans="60:88" x14ac:dyDescent="0.25">
      <c r="BH643" s="21"/>
      <c r="BI643" s="21"/>
      <c r="BJ643" s="21"/>
      <c r="BK643" s="21"/>
      <c r="BL643" s="21"/>
      <c r="BM643" s="21"/>
      <c r="BN643" s="21"/>
      <c r="BO643" s="21"/>
      <c r="BQ643" s="21"/>
      <c r="BR643" s="21"/>
      <c r="BS643" s="21"/>
      <c r="BU643" s="21"/>
      <c r="BX643" s="21"/>
      <c r="CG643" s="21"/>
      <c r="CH643" s="21"/>
      <c r="CI643" s="21"/>
      <c r="CJ643" s="21"/>
    </row>
    <row r="644" spans="60:88" x14ac:dyDescent="0.25">
      <c r="BH644" s="21"/>
      <c r="BI644" s="21"/>
      <c r="BJ644" s="21"/>
      <c r="BK644" s="21"/>
      <c r="BL644" s="21"/>
      <c r="BM644" s="21"/>
      <c r="BN644" s="21"/>
      <c r="BO644" s="21"/>
      <c r="BQ644" s="21"/>
      <c r="BR644" s="21"/>
      <c r="BS644" s="21"/>
      <c r="BU644" s="21"/>
      <c r="BX644" s="21"/>
      <c r="CG644" s="21"/>
      <c r="CH644" s="21"/>
      <c r="CI644" s="21"/>
      <c r="CJ644" s="21"/>
    </row>
    <row r="645" spans="60:88" x14ac:dyDescent="0.25">
      <c r="BH645" s="21"/>
      <c r="BI645" s="21"/>
      <c r="BJ645" s="21"/>
      <c r="BK645" s="21"/>
      <c r="BL645" s="21"/>
      <c r="BM645" s="21"/>
      <c r="BN645" s="21"/>
      <c r="BO645" s="21"/>
      <c r="BQ645" s="21"/>
      <c r="BR645" s="21"/>
      <c r="BS645" s="21"/>
      <c r="BU645" s="21"/>
      <c r="BX645" s="21"/>
      <c r="CG645" s="21"/>
      <c r="CH645" s="21"/>
      <c r="CI645" s="21"/>
      <c r="CJ645" s="21"/>
    </row>
    <row r="646" spans="60:88" x14ac:dyDescent="0.25">
      <c r="BH646" s="21"/>
      <c r="BI646" s="21"/>
      <c r="BJ646" s="21"/>
      <c r="BK646" s="21"/>
      <c r="BL646" s="21"/>
      <c r="BM646" s="21"/>
      <c r="BN646" s="21"/>
      <c r="BO646" s="21"/>
      <c r="BQ646" s="21"/>
      <c r="BR646" s="21"/>
      <c r="BS646" s="21"/>
      <c r="BU646" s="21"/>
      <c r="BX646" s="21"/>
      <c r="CG646" s="21"/>
      <c r="CH646" s="21"/>
      <c r="CI646" s="21"/>
      <c r="CJ646" s="21"/>
    </row>
    <row r="647" spans="60:88" x14ac:dyDescent="0.25">
      <c r="BH647" s="21"/>
      <c r="BI647" s="21"/>
      <c r="BJ647" s="21"/>
      <c r="BK647" s="21"/>
      <c r="BL647" s="21"/>
      <c r="BM647" s="21"/>
      <c r="BN647" s="21"/>
      <c r="BO647" s="21"/>
      <c r="BQ647" s="21"/>
      <c r="BR647" s="21"/>
      <c r="BS647" s="21"/>
      <c r="BU647" s="21"/>
      <c r="BX647" s="21"/>
      <c r="CG647" s="21"/>
      <c r="CH647" s="21"/>
      <c r="CI647" s="21"/>
      <c r="CJ647" s="21"/>
    </row>
    <row r="648" spans="60:88" x14ac:dyDescent="0.25">
      <c r="BH648" s="21"/>
      <c r="BI648" s="21"/>
      <c r="BJ648" s="21"/>
      <c r="BK648" s="21"/>
      <c r="BL648" s="21"/>
      <c r="BM648" s="21"/>
      <c r="BN648" s="21"/>
      <c r="BO648" s="21"/>
      <c r="BQ648" s="21"/>
      <c r="BR648" s="21"/>
      <c r="BS648" s="21"/>
      <c r="BU648" s="21"/>
      <c r="BX648" s="21"/>
      <c r="CG648" s="21"/>
      <c r="CH648" s="21"/>
      <c r="CI648" s="21"/>
      <c r="CJ648" s="21"/>
    </row>
    <row r="649" spans="60:88" x14ac:dyDescent="0.25">
      <c r="BH649" s="21"/>
      <c r="BI649" s="21"/>
      <c r="BJ649" s="21"/>
      <c r="BK649" s="21"/>
      <c r="BL649" s="21"/>
      <c r="BM649" s="21"/>
      <c r="BN649" s="21"/>
      <c r="BO649" s="21"/>
      <c r="BQ649" s="21"/>
      <c r="BR649" s="21"/>
      <c r="BS649" s="21"/>
      <c r="BU649" s="21"/>
      <c r="BX649" s="21"/>
      <c r="CG649" s="21"/>
      <c r="CH649" s="21"/>
      <c r="CI649" s="21"/>
      <c r="CJ649" s="21"/>
    </row>
    <row r="650" spans="60:88" x14ac:dyDescent="0.25">
      <c r="BH650" s="21"/>
      <c r="BI650" s="21"/>
      <c r="BJ650" s="21"/>
      <c r="BK650" s="21"/>
      <c r="BL650" s="21"/>
      <c r="BM650" s="21"/>
      <c r="BN650" s="21"/>
      <c r="BO650" s="21"/>
      <c r="BQ650" s="21"/>
      <c r="BR650" s="21"/>
      <c r="BS650" s="21"/>
      <c r="BU650" s="21"/>
      <c r="BX650" s="21"/>
      <c r="CG650" s="21"/>
      <c r="CH650" s="21"/>
      <c r="CI650" s="21"/>
      <c r="CJ650" s="21"/>
    </row>
    <row r="651" spans="60:88" x14ac:dyDescent="0.25">
      <c r="BH651" s="21"/>
      <c r="BI651" s="21"/>
      <c r="BJ651" s="21"/>
      <c r="BK651" s="21"/>
      <c r="BL651" s="21"/>
      <c r="BM651" s="21"/>
      <c r="BN651" s="21"/>
      <c r="BO651" s="21"/>
      <c r="BQ651" s="21"/>
      <c r="BR651" s="21"/>
      <c r="BS651" s="21"/>
      <c r="BU651" s="21"/>
      <c r="BX651" s="21"/>
      <c r="CG651" s="21"/>
      <c r="CH651" s="21"/>
      <c r="CI651" s="21"/>
      <c r="CJ651" s="21"/>
    </row>
    <row r="652" spans="60:88" x14ac:dyDescent="0.25">
      <c r="BH652" s="21"/>
      <c r="BI652" s="21"/>
      <c r="BJ652" s="21"/>
      <c r="BK652" s="21"/>
      <c r="BL652" s="21"/>
      <c r="BM652" s="21"/>
      <c r="BN652" s="21"/>
      <c r="BO652" s="21"/>
      <c r="BQ652" s="21"/>
      <c r="BR652" s="21"/>
      <c r="BS652" s="21"/>
      <c r="BU652" s="21"/>
      <c r="BX652" s="21"/>
      <c r="CG652" s="21"/>
      <c r="CH652" s="21"/>
      <c r="CI652" s="21"/>
      <c r="CJ652" s="21"/>
    </row>
    <row r="653" spans="60:88" x14ac:dyDescent="0.25">
      <c r="BH653" s="21"/>
      <c r="BI653" s="21"/>
      <c r="BJ653" s="21"/>
      <c r="BK653" s="21"/>
      <c r="BL653" s="21"/>
      <c r="BM653" s="21"/>
      <c r="BN653" s="21"/>
      <c r="BO653" s="21"/>
      <c r="BQ653" s="21"/>
      <c r="BR653" s="21"/>
      <c r="BS653" s="21"/>
      <c r="BU653" s="21"/>
      <c r="BX653" s="21"/>
      <c r="CG653" s="21"/>
      <c r="CH653" s="21"/>
      <c r="CI653" s="21"/>
      <c r="CJ653" s="21"/>
    </row>
    <row r="654" spans="60:88" x14ac:dyDescent="0.25">
      <c r="BH654" s="21"/>
      <c r="BI654" s="21"/>
      <c r="BJ654" s="21"/>
      <c r="BK654" s="21"/>
      <c r="BL654" s="21"/>
      <c r="BM654" s="21"/>
      <c r="BN654" s="21"/>
      <c r="BO654" s="21"/>
      <c r="BQ654" s="21"/>
      <c r="BR654" s="21"/>
      <c r="BS654" s="21"/>
      <c r="BU654" s="21"/>
      <c r="BX654" s="21"/>
      <c r="CG654" s="21"/>
      <c r="CH654" s="21"/>
      <c r="CI654" s="21"/>
      <c r="CJ654" s="21"/>
    </row>
    <row r="655" spans="60:88" x14ac:dyDescent="0.25">
      <c r="BH655" s="21"/>
      <c r="BI655" s="21"/>
      <c r="BJ655" s="21"/>
      <c r="BK655" s="21"/>
      <c r="BL655" s="21"/>
      <c r="BM655" s="21"/>
      <c r="BN655" s="21"/>
      <c r="BO655" s="21"/>
      <c r="BQ655" s="21"/>
      <c r="BR655" s="21"/>
      <c r="BS655" s="21"/>
      <c r="BU655" s="21"/>
      <c r="BX655" s="21"/>
      <c r="CG655" s="21"/>
      <c r="CH655" s="21"/>
      <c r="CI655" s="21"/>
      <c r="CJ655" s="21"/>
    </row>
    <row r="656" spans="60:88" x14ac:dyDescent="0.25">
      <c r="BH656" s="21"/>
      <c r="BI656" s="21"/>
      <c r="BJ656" s="21"/>
      <c r="BK656" s="21"/>
      <c r="BL656" s="21"/>
      <c r="BM656" s="21"/>
      <c r="BN656" s="21"/>
      <c r="BO656" s="21"/>
      <c r="BQ656" s="21"/>
      <c r="BR656" s="21"/>
      <c r="BS656" s="21"/>
      <c r="BU656" s="21"/>
      <c r="BX656" s="21"/>
      <c r="CG656" s="21"/>
      <c r="CH656" s="21"/>
      <c r="CI656" s="21"/>
      <c r="CJ656" s="21"/>
    </row>
    <row r="657" spans="60:88" x14ac:dyDescent="0.25">
      <c r="BH657" s="21"/>
      <c r="BI657" s="21"/>
      <c r="BJ657" s="21"/>
      <c r="BK657" s="21"/>
      <c r="BL657" s="21"/>
      <c r="BM657" s="21"/>
      <c r="BN657" s="21"/>
      <c r="BO657" s="21"/>
      <c r="BQ657" s="21"/>
      <c r="BR657" s="21"/>
      <c r="BS657" s="21"/>
      <c r="BU657" s="21"/>
      <c r="BX657" s="21"/>
      <c r="CG657" s="21"/>
      <c r="CH657" s="21"/>
      <c r="CI657" s="21"/>
      <c r="CJ657" s="21"/>
    </row>
    <row r="658" spans="60:88" x14ac:dyDescent="0.25">
      <c r="BH658" s="21"/>
      <c r="BI658" s="21"/>
      <c r="BJ658" s="21"/>
      <c r="BK658" s="21"/>
      <c r="BL658" s="21"/>
      <c r="BM658" s="21"/>
      <c r="BN658" s="21"/>
      <c r="BO658" s="21"/>
      <c r="BQ658" s="21"/>
      <c r="BR658" s="21"/>
      <c r="BS658" s="21"/>
      <c r="BU658" s="21"/>
      <c r="BX658" s="21"/>
      <c r="CG658" s="21"/>
      <c r="CH658" s="21"/>
      <c r="CI658" s="21"/>
      <c r="CJ658" s="21"/>
    </row>
    <row r="659" spans="60:88" x14ac:dyDescent="0.25">
      <c r="BH659" s="21"/>
      <c r="BI659" s="21"/>
      <c r="BJ659" s="21"/>
      <c r="BK659" s="21"/>
      <c r="BL659" s="21"/>
      <c r="BM659" s="21"/>
      <c r="BN659" s="21"/>
      <c r="BO659" s="21"/>
      <c r="BQ659" s="21"/>
      <c r="BR659" s="21"/>
      <c r="BS659" s="21"/>
      <c r="BU659" s="21"/>
      <c r="BX659" s="21"/>
      <c r="CG659" s="21"/>
      <c r="CH659" s="21"/>
      <c r="CI659" s="21"/>
      <c r="CJ659" s="21"/>
    </row>
    <row r="660" spans="60:88" x14ac:dyDescent="0.25">
      <c r="BH660" s="21"/>
      <c r="BI660" s="21"/>
      <c r="BJ660" s="21"/>
      <c r="BK660" s="21"/>
      <c r="BL660" s="21"/>
      <c r="BM660" s="21"/>
      <c r="BN660" s="21"/>
      <c r="BO660" s="21"/>
      <c r="BQ660" s="21"/>
      <c r="BR660" s="21"/>
      <c r="BS660" s="21"/>
      <c r="BU660" s="21"/>
      <c r="BX660" s="21"/>
      <c r="CG660" s="21"/>
      <c r="CH660" s="21"/>
      <c r="CI660" s="21"/>
      <c r="CJ660" s="21"/>
    </row>
    <row r="661" spans="60:88" x14ac:dyDescent="0.25">
      <c r="BH661" s="21"/>
      <c r="BI661" s="21"/>
      <c r="BJ661" s="21"/>
      <c r="BK661" s="21"/>
      <c r="BL661" s="21"/>
      <c r="BM661" s="21"/>
      <c r="BN661" s="21"/>
      <c r="BO661" s="21"/>
      <c r="BQ661" s="21"/>
      <c r="BR661" s="21"/>
      <c r="BS661" s="21"/>
      <c r="BU661" s="21"/>
      <c r="BX661" s="21"/>
      <c r="CG661" s="21"/>
      <c r="CH661" s="21"/>
      <c r="CI661" s="21"/>
      <c r="CJ661" s="21"/>
    </row>
    <row r="662" spans="60:88" x14ac:dyDescent="0.25">
      <c r="BH662" s="21"/>
      <c r="BI662" s="21"/>
      <c r="BJ662" s="21"/>
      <c r="BK662" s="21"/>
      <c r="BL662" s="21"/>
      <c r="BM662" s="21"/>
      <c r="BN662" s="21"/>
      <c r="BO662" s="21"/>
      <c r="BQ662" s="21"/>
      <c r="BR662" s="21"/>
      <c r="BS662" s="21"/>
      <c r="BU662" s="21"/>
      <c r="BX662" s="21"/>
      <c r="CG662" s="21"/>
      <c r="CH662" s="21"/>
      <c r="CI662" s="21"/>
      <c r="CJ662" s="21"/>
    </row>
    <row r="663" spans="60:88" x14ac:dyDescent="0.25">
      <c r="BH663" s="21"/>
      <c r="BI663" s="21"/>
      <c r="BJ663" s="21"/>
      <c r="BK663" s="21"/>
      <c r="BL663" s="21"/>
      <c r="BM663" s="21"/>
      <c r="BN663" s="21"/>
      <c r="BO663" s="21"/>
      <c r="BQ663" s="21"/>
      <c r="BR663" s="21"/>
      <c r="BS663" s="21"/>
      <c r="BU663" s="21"/>
      <c r="BX663" s="21"/>
      <c r="CG663" s="21"/>
      <c r="CH663" s="21"/>
      <c r="CI663" s="21"/>
      <c r="CJ663" s="21"/>
    </row>
    <row r="664" spans="60:88" x14ac:dyDescent="0.25">
      <c r="BH664" s="21"/>
      <c r="BI664" s="21"/>
      <c r="BJ664" s="21"/>
      <c r="BK664" s="21"/>
      <c r="BL664" s="21"/>
      <c r="BM664" s="21"/>
      <c r="BN664" s="21"/>
      <c r="BO664" s="21"/>
      <c r="BQ664" s="21"/>
      <c r="BR664" s="21"/>
      <c r="BS664" s="21"/>
      <c r="BU664" s="21"/>
      <c r="BX664" s="21"/>
      <c r="CG664" s="21"/>
      <c r="CH664" s="21"/>
      <c r="CI664" s="21"/>
      <c r="CJ664" s="21"/>
    </row>
    <row r="665" spans="60:88" x14ac:dyDescent="0.25">
      <c r="BH665" s="21"/>
      <c r="BI665" s="21"/>
      <c r="BJ665" s="21"/>
      <c r="BK665" s="21"/>
      <c r="BL665" s="21"/>
      <c r="BM665" s="21"/>
      <c r="BN665" s="21"/>
      <c r="BO665" s="21"/>
      <c r="BQ665" s="21"/>
      <c r="BR665" s="21"/>
      <c r="BS665" s="21"/>
      <c r="BU665" s="21"/>
      <c r="BX665" s="21"/>
      <c r="CG665" s="21"/>
      <c r="CH665" s="21"/>
      <c r="CI665" s="21"/>
      <c r="CJ665" s="21"/>
    </row>
    <row r="666" spans="60:88" x14ac:dyDescent="0.25">
      <c r="BH666" s="21"/>
      <c r="BI666" s="21"/>
      <c r="BJ666" s="21"/>
      <c r="BK666" s="21"/>
      <c r="BL666" s="21"/>
      <c r="BM666" s="21"/>
      <c r="BN666" s="21"/>
      <c r="BO666" s="21"/>
      <c r="BQ666" s="21"/>
      <c r="BR666" s="21"/>
      <c r="BS666" s="21"/>
      <c r="BU666" s="21"/>
      <c r="BX666" s="21"/>
      <c r="CG666" s="21"/>
      <c r="CH666" s="21"/>
      <c r="CI666" s="21"/>
      <c r="CJ666" s="21"/>
    </row>
    <row r="667" spans="60:88" x14ac:dyDescent="0.25">
      <c r="BH667" s="21"/>
      <c r="BI667" s="21"/>
      <c r="BJ667" s="21"/>
      <c r="BK667" s="21"/>
      <c r="BL667" s="21"/>
      <c r="BM667" s="21"/>
      <c r="BN667" s="21"/>
      <c r="BO667" s="21"/>
      <c r="BQ667" s="21"/>
      <c r="BR667" s="21"/>
      <c r="BS667" s="21"/>
      <c r="BU667" s="21"/>
      <c r="BX667" s="21"/>
      <c r="CG667" s="21"/>
      <c r="CH667" s="21"/>
      <c r="CI667" s="21"/>
      <c r="CJ667" s="21"/>
    </row>
    <row r="668" spans="60:88" x14ac:dyDescent="0.25">
      <c r="BH668" s="21"/>
      <c r="BI668" s="21"/>
      <c r="BJ668" s="21"/>
      <c r="BK668" s="21"/>
      <c r="BL668" s="21"/>
      <c r="BM668" s="21"/>
      <c r="BN668" s="21"/>
      <c r="BO668" s="21"/>
      <c r="BQ668" s="21"/>
      <c r="BR668" s="21"/>
      <c r="BS668" s="21"/>
      <c r="BU668" s="21"/>
      <c r="BX668" s="21"/>
      <c r="CG668" s="21"/>
      <c r="CH668" s="21"/>
      <c r="CI668" s="21"/>
      <c r="CJ668" s="21"/>
    </row>
    <row r="669" spans="60:88" x14ac:dyDescent="0.25">
      <c r="BH669" s="21"/>
      <c r="BI669" s="21"/>
      <c r="BJ669" s="21"/>
      <c r="BK669" s="21"/>
      <c r="BL669" s="21"/>
      <c r="BM669" s="21"/>
      <c r="BN669" s="21"/>
      <c r="BO669" s="21"/>
      <c r="BQ669" s="21"/>
      <c r="BR669" s="21"/>
      <c r="BS669" s="21"/>
      <c r="BU669" s="21"/>
      <c r="BX669" s="21"/>
      <c r="CG669" s="21"/>
      <c r="CH669" s="21"/>
      <c r="CI669" s="21"/>
      <c r="CJ669" s="21"/>
    </row>
    <row r="670" spans="60:88" x14ac:dyDescent="0.25">
      <c r="BH670" s="21"/>
      <c r="BI670" s="21"/>
      <c r="BJ670" s="21"/>
      <c r="BK670" s="21"/>
      <c r="BL670" s="21"/>
      <c r="BM670" s="21"/>
      <c r="BN670" s="21"/>
      <c r="BO670" s="21"/>
      <c r="BQ670" s="21"/>
      <c r="BR670" s="21"/>
      <c r="BS670" s="21"/>
      <c r="BU670" s="21"/>
      <c r="BX670" s="21"/>
      <c r="CG670" s="21"/>
      <c r="CH670" s="21"/>
      <c r="CI670" s="21"/>
      <c r="CJ670" s="21"/>
    </row>
    <row r="671" spans="60:88" x14ac:dyDescent="0.25">
      <c r="BH671" s="21"/>
      <c r="BI671" s="21"/>
      <c r="BJ671" s="21"/>
      <c r="BK671" s="21"/>
      <c r="BL671" s="21"/>
      <c r="BM671" s="21"/>
      <c r="BN671" s="21"/>
      <c r="BO671" s="21"/>
      <c r="BQ671" s="21"/>
      <c r="BR671" s="21"/>
      <c r="BS671" s="21"/>
      <c r="BU671" s="21"/>
      <c r="BX671" s="21"/>
      <c r="CG671" s="21"/>
      <c r="CH671" s="21"/>
      <c r="CI671" s="21"/>
      <c r="CJ671" s="21"/>
    </row>
    <row r="672" spans="60:88" x14ac:dyDescent="0.25">
      <c r="BH672" s="21"/>
      <c r="BI672" s="21"/>
      <c r="BJ672" s="21"/>
      <c r="BK672" s="21"/>
      <c r="BL672" s="21"/>
      <c r="BM672" s="21"/>
      <c r="BN672" s="21"/>
      <c r="BO672" s="21"/>
      <c r="BQ672" s="21"/>
      <c r="BR672" s="21"/>
      <c r="BS672" s="21"/>
      <c r="BU672" s="21"/>
      <c r="BX672" s="21"/>
      <c r="CG672" s="21"/>
      <c r="CH672" s="21"/>
      <c r="CI672" s="21"/>
      <c r="CJ672" s="21"/>
    </row>
    <row r="673" spans="60:88" x14ac:dyDescent="0.25">
      <c r="BH673" s="21"/>
      <c r="BI673" s="21"/>
      <c r="BJ673" s="21"/>
      <c r="BK673" s="21"/>
      <c r="BL673" s="21"/>
      <c r="BM673" s="21"/>
      <c r="BN673" s="21"/>
      <c r="BO673" s="21"/>
      <c r="BQ673" s="21"/>
      <c r="BR673" s="21"/>
      <c r="BS673" s="21"/>
      <c r="BU673" s="21"/>
      <c r="BX673" s="21"/>
      <c r="CG673" s="21"/>
      <c r="CH673" s="21"/>
      <c r="CI673" s="21"/>
      <c r="CJ673" s="21"/>
    </row>
    <row r="674" spans="60:88" x14ac:dyDescent="0.25">
      <c r="BH674" s="21"/>
      <c r="BI674" s="21"/>
      <c r="BJ674" s="21"/>
      <c r="BK674" s="21"/>
      <c r="BL674" s="21"/>
      <c r="BM674" s="21"/>
      <c r="BN674" s="21"/>
      <c r="BO674" s="21"/>
      <c r="BQ674" s="21"/>
      <c r="BR674" s="21"/>
      <c r="BS674" s="21"/>
      <c r="BU674" s="21"/>
      <c r="BX674" s="21"/>
      <c r="CG674" s="21"/>
      <c r="CH674" s="21"/>
      <c r="CI674" s="21"/>
      <c r="CJ674" s="21"/>
    </row>
    <row r="675" spans="60:88" x14ac:dyDescent="0.25">
      <c r="BH675" s="21"/>
      <c r="BI675" s="21"/>
      <c r="BJ675" s="21"/>
      <c r="BK675" s="21"/>
      <c r="BL675" s="21"/>
      <c r="BM675" s="21"/>
      <c r="BN675" s="21"/>
      <c r="BO675" s="21"/>
      <c r="BQ675" s="21"/>
      <c r="BR675" s="21"/>
      <c r="BS675" s="21"/>
      <c r="BU675" s="21"/>
      <c r="BX675" s="21"/>
      <c r="CG675" s="21"/>
      <c r="CH675" s="21"/>
      <c r="CI675" s="21"/>
      <c r="CJ675" s="21"/>
    </row>
    <row r="676" spans="60:88" x14ac:dyDescent="0.25">
      <c r="BH676" s="21"/>
      <c r="BI676" s="21"/>
      <c r="BJ676" s="21"/>
      <c r="BK676" s="21"/>
      <c r="BL676" s="21"/>
      <c r="BM676" s="21"/>
      <c r="BN676" s="21"/>
      <c r="BO676" s="21"/>
      <c r="BQ676" s="21"/>
      <c r="BR676" s="21"/>
      <c r="BS676" s="21"/>
      <c r="BU676" s="21"/>
      <c r="BX676" s="21"/>
      <c r="CG676" s="21"/>
      <c r="CH676" s="21"/>
      <c r="CI676" s="21"/>
      <c r="CJ676" s="21"/>
    </row>
    <row r="677" spans="60:88" x14ac:dyDescent="0.25">
      <c r="BH677" s="21"/>
      <c r="BI677" s="21"/>
      <c r="BJ677" s="21"/>
      <c r="BK677" s="21"/>
      <c r="BL677" s="21"/>
      <c r="BM677" s="21"/>
      <c r="BN677" s="21"/>
      <c r="BO677" s="21"/>
      <c r="BQ677" s="21"/>
      <c r="BR677" s="21"/>
      <c r="BS677" s="21"/>
      <c r="BU677" s="21"/>
      <c r="BX677" s="21"/>
      <c r="CG677" s="21"/>
      <c r="CH677" s="21"/>
      <c r="CI677" s="21"/>
      <c r="CJ677" s="21"/>
    </row>
    <row r="678" spans="60:88" x14ac:dyDescent="0.25">
      <c r="BH678" s="21"/>
      <c r="BI678" s="21"/>
      <c r="BJ678" s="21"/>
      <c r="BK678" s="21"/>
      <c r="BL678" s="21"/>
      <c r="BM678" s="21"/>
      <c r="BN678" s="21"/>
      <c r="BO678" s="21"/>
      <c r="BQ678" s="21"/>
      <c r="BR678" s="21"/>
      <c r="BS678" s="21"/>
      <c r="BU678" s="21"/>
      <c r="BX678" s="21"/>
      <c r="CG678" s="21"/>
      <c r="CH678" s="21"/>
      <c r="CI678" s="21"/>
      <c r="CJ678" s="21"/>
    </row>
    <row r="679" spans="60:88" x14ac:dyDescent="0.25">
      <c r="BH679" s="21"/>
      <c r="BI679" s="21"/>
      <c r="BJ679" s="21"/>
      <c r="BK679" s="21"/>
      <c r="BL679" s="21"/>
      <c r="BM679" s="21"/>
      <c r="BN679" s="21"/>
      <c r="BO679" s="21"/>
      <c r="BQ679" s="21"/>
      <c r="BR679" s="21"/>
      <c r="BS679" s="21"/>
      <c r="BU679" s="21"/>
      <c r="BX679" s="21"/>
      <c r="CG679" s="21"/>
      <c r="CH679" s="21"/>
      <c r="CI679" s="21"/>
      <c r="CJ679" s="21"/>
    </row>
    <row r="680" spans="60:88" x14ac:dyDescent="0.25">
      <c r="BH680" s="21"/>
      <c r="BI680" s="21"/>
      <c r="BJ680" s="21"/>
      <c r="BK680" s="21"/>
      <c r="BL680" s="21"/>
      <c r="BM680" s="21"/>
      <c r="BN680" s="21"/>
      <c r="BO680" s="21"/>
      <c r="BQ680" s="21"/>
      <c r="BR680" s="21"/>
      <c r="BS680" s="21"/>
      <c r="BU680" s="21"/>
      <c r="BX680" s="21"/>
      <c r="CG680" s="21"/>
      <c r="CH680" s="21"/>
      <c r="CI680" s="21"/>
      <c r="CJ680" s="21"/>
    </row>
    <row r="681" spans="60:88" x14ac:dyDescent="0.25">
      <c r="BH681" s="21"/>
      <c r="BI681" s="21"/>
      <c r="BJ681" s="21"/>
      <c r="BK681" s="21"/>
      <c r="BL681" s="21"/>
      <c r="BM681" s="21"/>
      <c r="BN681" s="21"/>
      <c r="BO681" s="21"/>
      <c r="BQ681" s="21"/>
      <c r="BR681" s="21"/>
      <c r="BS681" s="21"/>
      <c r="BU681" s="21"/>
      <c r="BX681" s="21"/>
      <c r="CG681" s="21"/>
      <c r="CH681" s="21"/>
      <c r="CI681" s="21"/>
      <c r="CJ681" s="21"/>
    </row>
    <row r="682" spans="60:88" x14ac:dyDescent="0.25">
      <c r="BH682" s="21"/>
      <c r="BI682" s="21"/>
      <c r="BJ682" s="21"/>
      <c r="BK682" s="21"/>
      <c r="BL682" s="21"/>
      <c r="BM682" s="21"/>
      <c r="BN682" s="21"/>
      <c r="BO682" s="21"/>
      <c r="BQ682" s="21"/>
      <c r="BR682" s="21"/>
      <c r="BS682" s="21"/>
      <c r="BU682" s="21"/>
      <c r="BX682" s="21"/>
      <c r="CG682" s="21"/>
      <c r="CH682" s="21"/>
      <c r="CI682" s="21"/>
      <c r="CJ682" s="21"/>
    </row>
    <row r="683" spans="60:88" x14ac:dyDescent="0.25">
      <c r="BH683" s="21"/>
      <c r="BI683" s="21"/>
      <c r="BJ683" s="21"/>
      <c r="BK683" s="21"/>
      <c r="BL683" s="21"/>
      <c r="BM683" s="21"/>
      <c r="BN683" s="21"/>
      <c r="BO683" s="21"/>
      <c r="BQ683" s="21"/>
      <c r="BR683" s="21"/>
      <c r="BS683" s="21"/>
      <c r="BU683" s="21"/>
      <c r="BX683" s="21"/>
      <c r="CG683" s="21"/>
      <c r="CH683" s="21"/>
      <c r="CI683" s="21"/>
      <c r="CJ683" s="21"/>
    </row>
    <row r="684" spans="60:88" x14ac:dyDescent="0.25">
      <c r="BH684" s="21"/>
      <c r="BI684" s="21"/>
      <c r="BJ684" s="21"/>
      <c r="BK684" s="21"/>
      <c r="BL684" s="21"/>
      <c r="BM684" s="21"/>
      <c r="BN684" s="21"/>
      <c r="BO684" s="21"/>
      <c r="BQ684" s="21"/>
      <c r="BR684" s="21"/>
      <c r="BS684" s="21"/>
      <c r="BU684" s="21"/>
      <c r="BX684" s="21"/>
      <c r="CG684" s="21"/>
      <c r="CH684" s="21"/>
      <c r="CI684" s="21"/>
      <c r="CJ684" s="21"/>
    </row>
    <row r="685" spans="60:88" x14ac:dyDescent="0.25">
      <c r="BH685" s="21"/>
      <c r="BI685" s="21"/>
      <c r="BJ685" s="21"/>
      <c r="BK685" s="21"/>
      <c r="BL685" s="21"/>
      <c r="BM685" s="21"/>
      <c r="BN685" s="21"/>
      <c r="BO685" s="21"/>
      <c r="BQ685" s="21"/>
      <c r="BR685" s="21"/>
      <c r="BS685" s="21"/>
      <c r="BU685" s="21"/>
      <c r="BX685" s="21"/>
      <c r="CG685" s="21"/>
      <c r="CH685" s="21"/>
      <c r="CI685" s="21"/>
      <c r="CJ685" s="21"/>
    </row>
    <row r="686" spans="60:88" x14ac:dyDescent="0.25">
      <c r="BH686" s="21"/>
      <c r="BI686" s="21"/>
      <c r="BJ686" s="21"/>
      <c r="BK686" s="21"/>
      <c r="BL686" s="21"/>
      <c r="BM686" s="21"/>
      <c r="BN686" s="21"/>
      <c r="BO686" s="21"/>
      <c r="BQ686" s="21"/>
      <c r="BR686" s="21"/>
      <c r="BS686" s="21"/>
      <c r="BU686" s="21"/>
      <c r="BX686" s="21"/>
      <c r="CG686" s="21"/>
      <c r="CH686" s="21"/>
      <c r="CI686" s="21"/>
      <c r="CJ686" s="21"/>
    </row>
    <row r="687" spans="60:88" x14ac:dyDescent="0.25">
      <c r="BH687" s="21"/>
      <c r="BI687" s="21"/>
      <c r="BJ687" s="21"/>
      <c r="BK687" s="21"/>
      <c r="BL687" s="21"/>
      <c r="BM687" s="21"/>
      <c r="BN687" s="21"/>
      <c r="BO687" s="21"/>
      <c r="BQ687" s="21"/>
      <c r="BR687" s="21"/>
      <c r="BS687" s="21"/>
      <c r="BU687" s="21"/>
      <c r="BX687" s="21"/>
      <c r="CG687" s="21"/>
      <c r="CH687" s="21"/>
      <c r="CI687" s="21"/>
      <c r="CJ687" s="21"/>
    </row>
    <row r="688" spans="60:88" x14ac:dyDescent="0.25">
      <c r="BH688" s="21"/>
      <c r="BI688" s="21"/>
      <c r="BJ688" s="21"/>
      <c r="BK688" s="21"/>
      <c r="BL688" s="21"/>
      <c r="BM688" s="21"/>
      <c r="BN688" s="21"/>
      <c r="BO688" s="21"/>
      <c r="BQ688" s="21"/>
      <c r="BR688" s="21"/>
      <c r="BS688" s="21"/>
      <c r="BU688" s="21"/>
      <c r="BX688" s="21"/>
      <c r="CG688" s="21"/>
      <c r="CH688" s="21"/>
      <c r="CI688" s="21"/>
      <c r="CJ688" s="21"/>
    </row>
    <row r="689" spans="60:88" x14ac:dyDescent="0.25">
      <c r="BH689" s="21"/>
      <c r="BI689" s="21"/>
      <c r="BJ689" s="21"/>
      <c r="BK689" s="21"/>
      <c r="BL689" s="21"/>
      <c r="BM689" s="21"/>
      <c r="BN689" s="21"/>
      <c r="BO689" s="21"/>
      <c r="BQ689" s="21"/>
      <c r="BR689" s="21"/>
      <c r="BS689" s="21"/>
      <c r="BU689" s="21"/>
      <c r="BX689" s="21"/>
      <c r="CG689" s="21"/>
      <c r="CH689" s="21"/>
      <c r="CI689" s="21"/>
      <c r="CJ689" s="21"/>
    </row>
    <row r="690" spans="60:88" x14ac:dyDescent="0.25">
      <c r="BH690" s="21"/>
      <c r="BI690" s="21"/>
      <c r="BJ690" s="21"/>
      <c r="BK690" s="21"/>
      <c r="BL690" s="21"/>
      <c r="BM690" s="21"/>
      <c r="BN690" s="21"/>
      <c r="BO690" s="21"/>
      <c r="BQ690" s="21"/>
      <c r="BR690" s="21"/>
      <c r="BS690" s="21"/>
      <c r="BU690" s="21"/>
      <c r="BX690" s="21"/>
      <c r="CG690" s="21"/>
      <c r="CH690" s="21"/>
      <c r="CI690" s="21"/>
      <c r="CJ690" s="21"/>
    </row>
    <row r="691" spans="60:88" x14ac:dyDescent="0.25">
      <c r="BH691" s="21"/>
      <c r="BI691" s="21"/>
      <c r="BJ691" s="21"/>
      <c r="BK691" s="21"/>
      <c r="BL691" s="21"/>
      <c r="BM691" s="21"/>
      <c r="BN691" s="21"/>
      <c r="BO691" s="21"/>
      <c r="BQ691" s="21"/>
      <c r="BR691" s="21"/>
      <c r="BS691" s="21"/>
      <c r="BU691" s="21"/>
      <c r="BX691" s="21"/>
      <c r="CG691" s="21"/>
      <c r="CH691" s="21"/>
      <c r="CI691" s="21"/>
      <c r="CJ691" s="21"/>
    </row>
    <row r="692" spans="60:88" x14ac:dyDescent="0.25">
      <c r="BH692" s="21"/>
      <c r="BI692" s="21"/>
      <c r="BJ692" s="21"/>
      <c r="BK692" s="21"/>
      <c r="BL692" s="21"/>
      <c r="BM692" s="21"/>
      <c r="BN692" s="21"/>
      <c r="BO692" s="21"/>
      <c r="BQ692" s="21"/>
      <c r="BR692" s="21"/>
      <c r="BS692" s="21"/>
      <c r="BU692" s="21"/>
      <c r="BX692" s="21"/>
      <c r="CG692" s="21"/>
      <c r="CH692" s="21"/>
      <c r="CI692" s="21"/>
      <c r="CJ692" s="21"/>
    </row>
    <row r="693" spans="60:88" x14ac:dyDescent="0.25">
      <c r="BH693" s="21"/>
      <c r="BI693" s="21"/>
      <c r="BJ693" s="21"/>
      <c r="BK693" s="21"/>
      <c r="BL693" s="21"/>
      <c r="BM693" s="21"/>
      <c r="BN693" s="21"/>
      <c r="BO693" s="21"/>
      <c r="BQ693" s="21"/>
      <c r="BR693" s="21"/>
      <c r="BS693" s="21"/>
      <c r="BU693" s="21"/>
      <c r="BX693" s="21"/>
      <c r="CG693" s="21"/>
      <c r="CH693" s="21"/>
      <c r="CI693" s="21"/>
      <c r="CJ693" s="21"/>
    </row>
    <row r="694" spans="60:88" x14ac:dyDescent="0.25">
      <c r="BH694" s="21"/>
      <c r="BI694" s="21"/>
      <c r="BJ694" s="21"/>
      <c r="BK694" s="21"/>
      <c r="BL694" s="21"/>
      <c r="BM694" s="21"/>
      <c r="BN694" s="21"/>
      <c r="BO694" s="21"/>
      <c r="BQ694" s="21"/>
      <c r="BR694" s="21"/>
      <c r="BS694" s="21"/>
      <c r="BU694" s="21"/>
      <c r="BX694" s="21"/>
      <c r="CG694" s="21"/>
      <c r="CH694" s="21"/>
      <c r="CI694" s="21"/>
      <c r="CJ694" s="21"/>
    </row>
    <row r="695" spans="60:88" x14ac:dyDescent="0.25">
      <c r="BH695" s="21"/>
      <c r="BI695" s="21"/>
      <c r="BJ695" s="21"/>
      <c r="BK695" s="21"/>
      <c r="BL695" s="21"/>
      <c r="BM695" s="21"/>
      <c r="BN695" s="21"/>
      <c r="BO695" s="21"/>
      <c r="BQ695" s="21"/>
      <c r="BR695" s="21"/>
      <c r="BS695" s="21"/>
      <c r="BU695" s="21"/>
      <c r="BX695" s="21"/>
      <c r="CG695" s="21"/>
      <c r="CH695" s="21"/>
      <c r="CI695" s="21"/>
      <c r="CJ695" s="21"/>
    </row>
    <row r="696" spans="60:88" x14ac:dyDescent="0.25">
      <c r="BH696" s="21"/>
      <c r="BI696" s="21"/>
      <c r="BJ696" s="21"/>
      <c r="BK696" s="21"/>
      <c r="BL696" s="21"/>
      <c r="BM696" s="21"/>
      <c r="BN696" s="21"/>
      <c r="BO696" s="21"/>
      <c r="BQ696" s="21"/>
      <c r="BR696" s="21"/>
      <c r="BS696" s="21"/>
      <c r="BU696" s="21"/>
      <c r="BX696" s="21"/>
      <c r="CG696" s="21"/>
      <c r="CH696" s="21"/>
      <c r="CI696" s="21"/>
      <c r="CJ696" s="21"/>
    </row>
    <row r="697" spans="60:88" x14ac:dyDescent="0.25">
      <c r="BH697" s="21"/>
      <c r="BI697" s="21"/>
      <c r="BJ697" s="21"/>
      <c r="BK697" s="21"/>
      <c r="BL697" s="21"/>
      <c r="BM697" s="21"/>
      <c r="BN697" s="21"/>
      <c r="BO697" s="21"/>
      <c r="BQ697" s="21"/>
      <c r="BR697" s="21"/>
      <c r="BS697" s="21"/>
      <c r="BU697" s="21"/>
      <c r="BX697" s="21"/>
      <c r="CG697" s="21"/>
      <c r="CH697" s="21"/>
      <c r="CI697" s="21"/>
      <c r="CJ697" s="21"/>
    </row>
    <row r="698" spans="60:88" x14ac:dyDescent="0.25">
      <c r="BH698" s="21"/>
      <c r="BI698" s="21"/>
      <c r="BJ698" s="21"/>
      <c r="BK698" s="21"/>
      <c r="BL698" s="21"/>
      <c r="BM698" s="21"/>
      <c r="BN698" s="21"/>
      <c r="BO698" s="21"/>
      <c r="BQ698" s="21"/>
      <c r="BR698" s="21"/>
      <c r="BS698" s="21"/>
      <c r="BU698" s="21"/>
      <c r="BX698" s="21"/>
      <c r="CG698" s="21"/>
      <c r="CH698" s="21"/>
      <c r="CI698" s="21"/>
      <c r="CJ698" s="21"/>
    </row>
    <row r="699" spans="60:88" x14ac:dyDescent="0.25">
      <c r="BH699" s="21"/>
      <c r="BI699" s="21"/>
      <c r="BJ699" s="21"/>
      <c r="BK699" s="21"/>
      <c r="BL699" s="21"/>
      <c r="BM699" s="21"/>
      <c r="BN699" s="21"/>
      <c r="BO699" s="21"/>
      <c r="BQ699" s="21"/>
      <c r="BR699" s="21"/>
      <c r="BS699" s="21"/>
      <c r="BU699" s="21"/>
      <c r="BX699" s="21"/>
      <c r="CG699" s="21"/>
      <c r="CH699" s="21"/>
      <c r="CI699" s="21"/>
      <c r="CJ699" s="21"/>
    </row>
    <row r="700" spans="60:88" x14ac:dyDescent="0.25">
      <c r="BH700" s="21"/>
      <c r="BI700" s="21"/>
      <c r="BJ700" s="21"/>
      <c r="BK700" s="21"/>
      <c r="BL700" s="21"/>
      <c r="BM700" s="21"/>
      <c r="BN700" s="21"/>
      <c r="BO700" s="21"/>
      <c r="BQ700" s="21"/>
      <c r="BR700" s="21"/>
      <c r="BS700" s="21"/>
      <c r="BU700" s="21"/>
      <c r="BX700" s="21"/>
      <c r="CG700" s="21"/>
      <c r="CH700" s="21"/>
      <c r="CI700" s="21"/>
      <c r="CJ700" s="21"/>
    </row>
    <row r="701" spans="60:88" x14ac:dyDescent="0.25">
      <c r="BH701" s="21"/>
      <c r="BI701" s="21"/>
      <c r="BJ701" s="21"/>
      <c r="BK701" s="21"/>
      <c r="BL701" s="21"/>
      <c r="BM701" s="21"/>
      <c r="BN701" s="21"/>
      <c r="BO701" s="21"/>
      <c r="BQ701" s="21"/>
      <c r="BR701" s="21"/>
      <c r="BS701" s="21"/>
      <c r="BU701" s="21"/>
      <c r="BX701" s="21"/>
      <c r="CG701" s="21"/>
      <c r="CH701" s="21"/>
      <c r="CI701" s="21"/>
      <c r="CJ701" s="21"/>
    </row>
    <row r="702" spans="60:88" x14ac:dyDescent="0.25">
      <c r="BH702" s="21"/>
      <c r="BI702" s="21"/>
      <c r="BJ702" s="21"/>
      <c r="BK702" s="21"/>
      <c r="BL702" s="21"/>
      <c r="BM702" s="21"/>
      <c r="BN702" s="21"/>
      <c r="BO702" s="21"/>
      <c r="BQ702" s="21"/>
      <c r="BR702" s="21"/>
      <c r="BS702" s="21"/>
      <c r="BU702" s="21"/>
      <c r="BX702" s="21"/>
      <c r="CG702" s="21"/>
      <c r="CH702" s="21"/>
      <c r="CI702" s="21"/>
      <c r="CJ702" s="21"/>
    </row>
    <row r="703" spans="60:88" x14ac:dyDescent="0.25">
      <c r="BH703" s="21"/>
      <c r="BI703" s="21"/>
      <c r="BJ703" s="21"/>
      <c r="BK703" s="21"/>
      <c r="BL703" s="21"/>
      <c r="BM703" s="21"/>
      <c r="BN703" s="21"/>
      <c r="BO703" s="21"/>
      <c r="BQ703" s="21"/>
      <c r="BR703" s="21"/>
      <c r="BS703" s="21"/>
      <c r="BU703" s="21"/>
      <c r="BX703" s="21"/>
      <c r="CG703" s="21"/>
      <c r="CH703" s="21"/>
      <c r="CI703" s="21"/>
      <c r="CJ703" s="21"/>
    </row>
    <row r="704" spans="60:88" x14ac:dyDescent="0.25">
      <c r="BH704" s="21"/>
      <c r="BI704" s="21"/>
      <c r="BJ704" s="21"/>
      <c r="BK704" s="21"/>
      <c r="BL704" s="21"/>
      <c r="BM704" s="21"/>
      <c r="BN704" s="21"/>
      <c r="BO704" s="21"/>
      <c r="BQ704" s="21"/>
      <c r="BR704" s="21"/>
      <c r="BS704" s="21"/>
      <c r="BU704" s="21"/>
      <c r="BX704" s="21"/>
      <c r="CG704" s="21"/>
      <c r="CH704" s="21"/>
      <c r="CI704" s="21"/>
      <c r="CJ704" s="21"/>
    </row>
    <row r="705" spans="60:88" x14ac:dyDescent="0.25">
      <c r="BH705" s="21"/>
      <c r="BI705" s="21"/>
      <c r="BJ705" s="21"/>
      <c r="BK705" s="21"/>
      <c r="BL705" s="21"/>
      <c r="BM705" s="21"/>
      <c r="BN705" s="21"/>
      <c r="BO705" s="21"/>
      <c r="BQ705" s="21"/>
      <c r="BR705" s="21"/>
      <c r="BS705" s="21"/>
      <c r="BU705" s="21"/>
      <c r="BX705" s="21"/>
      <c r="CG705" s="21"/>
      <c r="CH705" s="21"/>
      <c r="CI705" s="21"/>
      <c r="CJ705" s="21"/>
    </row>
    <row r="706" spans="60:88" x14ac:dyDescent="0.25">
      <c r="BH706" s="21"/>
      <c r="BI706" s="21"/>
      <c r="BJ706" s="21"/>
      <c r="BK706" s="21"/>
      <c r="BL706" s="21"/>
      <c r="BM706" s="21"/>
      <c r="BN706" s="21"/>
      <c r="BO706" s="21"/>
      <c r="BQ706" s="21"/>
      <c r="BR706" s="21"/>
      <c r="BS706" s="21"/>
      <c r="BU706" s="21"/>
      <c r="BX706" s="21"/>
      <c r="CG706" s="21"/>
      <c r="CH706" s="21"/>
      <c r="CI706" s="21"/>
      <c r="CJ706" s="21"/>
    </row>
    <row r="707" spans="60:88" x14ac:dyDescent="0.25">
      <c r="BH707" s="21"/>
      <c r="BI707" s="21"/>
      <c r="BJ707" s="21"/>
      <c r="BK707" s="21"/>
      <c r="BL707" s="21"/>
      <c r="BM707" s="21"/>
      <c r="BN707" s="21"/>
      <c r="BO707" s="21"/>
      <c r="BQ707" s="21"/>
      <c r="BR707" s="21"/>
      <c r="BS707" s="21"/>
      <c r="BU707" s="21"/>
      <c r="BX707" s="21"/>
      <c r="CG707" s="21"/>
      <c r="CH707" s="21"/>
      <c r="CI707" s="21"/>
      <c r="CJ707" s="21"/>
    </row>
    <row r="708" spans="60:88" x14ac:dyDescent="0.25">
      <c r="BH708" s="21"/>
      <c r="BI708" s="21"/>
      <c r="BJ708" s="21"/>
      <c r="BK708" s="21"/>
      <c r="BL708" s="21"/>
      <c r="BM708" s="21"/>
      <c r="BN708" s="21"/>
      <c r="BO708" s="21"/>
      <c r="BQ708" s="21"/>
      <c r="BR708" s="21"/>
      <c r="BS708" s="21"/>
      <c r="BU708" s="21"/>
      <c r="BX708" s="21"/>
      <c r="CG708" s="21"/>
      <c r="CH708" s="21"/>
      <c r="CI708" s="21"/>
      <c r="CJ708" s="21"/>
    </row>
    <row r="709" spans="60:88" x14ac:dyDescent="0.25">
      <c r="BH709" s="21"/>
      <c r="BI709" s="21"/>
      <c r="BJ709" s="21"/>
      <c r="BK709" s="21"/>
      <c r="BL709" s="21"/>
      <c r="BM709" s="21"/>
      <c r="BN709" s="21"/>
      <c r="BO709" s="21"/>
      <c r="BQ709" s="21"/>
      <c r="BR709" s="21"/>
      <c r="BS709" s="21"/>
      <c r="BU709" s="21"/>
      <c r="BX709" s="21"/>
      <c r="CG709" s="21"/>
      <c r="CH709" s="21"/>
      <c r="CI709" s="21"/>
      <c r="CJ709" s="21"/>
    </row>
    <row r="710" spans="60:88" x14ac:dyDescent="0.25">
      <c r="BH710" s="21"/>
      <c r="BI710" s="21"/>
      <c r="BJ710" s="21"/>
      <c r="BK710" s="21"/>
      <c r="BL710" s="21"/>
      <c r="BM710" s="21"/>
      <c r="BN710" s="21"/>
      <c r="BO710" s="21"/>
      <c r="BQ710" s="21"/>
      <c r="BR710" s="21"/>
      <c r="BS710" s="21"/>
      <c r="BU710" s="21"/>
      <c r="BX710" s="21"/>
      <c r="CG710" s="21"/>
      <c r="CH710" s="21"/>
      <c r="CI710" s="21"/>
      <c r="CJ710" s="21"/>
    </row>
    <row r="711" spans="60:88" x14ac:dyDescent="0.25">
      <c r="BH711" s="21"/>
      <c r="BI711" s="21"/>
      <c r="BJ711" s="21"/>
      <c r="BK711" s="21"/>
      <c r="BL711" s="21"/>
      <c r="BM711" s="21"/>
      <c r="BN711" s="21"/>
      <c r="BO711" s="21"/>
      <c r="BQ711" s="21"/>
      <c r="BR711" s="21"/>
      <c r="BS711" s="21"/>
      <c r="BU711" s="21"/>
      <c r="BX711" s="21"/>
      <c r="CG711" s="21"/>
      <c r="CH711" s="21"/>
      <c r="CI711" s="21"/>
      <c r="CJ711" s="21"/>
    </row>
    <row r="712" spans="60:88" x14ac:dyDescent="0.25">
      <c r="BH712" s="21"/>
      <c r="BI712" s="21"/>
      <c r="BJ712" s="21"/>
      <c r="BK712" s="21"/>
      <c r="BL712" s="21"/>
      <c r="BM712" s="21"/>
      <c r="BN712" s="21"/>
      <c r="BO712" s="21"/>
      <c r="BQ712" s="21"/>
      <c r="BR712" s="21"/>
      <c r="BS712" s="21"/>
      <c r="BU712" s="21"/>
      <c r="BX712" s="21"/>
      <c r="CG712" s="21"/>
      <c r="CH712" s="21"/>
      <c r="CI712" s="21"/>
      <c r="CJ712" s="21"/>
    </row>
    <row r="713" spans="60:88" x14ac:dyDescent="0.25">
      <c r="BH713" s="21"/>
      <c r="BI713" s="21"/>
      <c r="BJ713" s="21"/>
      <c r="BK713" s="21"/>
      <c r="BL713" s="21"/>
      <c r="BM713" s="21"/>
      <c r="BN713" s="21"/>
      <c r="BO713" s="21"/>
      <c r="BQ713" s="21"/>
      <c r="BR713" s="21"/>
      <c r="BS713" s="21"/>
      <c r="BU713" s="21"/>
      <c r="BX713" s="21"/>
      <c r="CG713" s="21"/>
      <c r="CH713" s="21"/>
      <c r="CI713" s="21"/>
      <c r="CJ713" s="21"/>
    </row>
    <row r="714" spans="60:88" x14ac:dyDescent="0.25">
      <c r="BH714" s="21"/>
      <c r="BI714" s="21"/>
      <c r="BJ714" s="21"/>
      <c r="BK714" s="21"/>
      <c r="BL714" s="21"/>
      <c r="BM714" s="21"/>
      <c r="BN714" s="21"/>
      <c r="BO714" s="21"/>
      <c r="BQ714" s="21"/>
      <c r="BR714" s="21"/>
      <c r="BS714" s="21"/>
      <c r="BU714" s="21"/>
      <c r="BX714" s="21"/>
      <c r="CG714" s="21"/>
      <c r="CH714" s="21"/>
      <c r="CI714" s="21"/>
      <c r="CJ714" s="21"/>
    </row>
    <row r="715" spans="60:88" x14ac:dyDescent="0.25">
      <c r="BH715" s="21"/>
      <c r="BI715" s="21"/>
      <c r="BJ715" s="21"/>
      <c r="BK715" s="21"/>
      <c r="BL715" s="21"/>
      <c r="BM715" s="21"/>
      <c r="BN715" s="21"/>
      <c r="BO715" s="21"/>
      <c r="BQ715" s="21"/>
      <c r="BR715" s="21"/>
      <c r="BS715" s="21"/>
      <c r="BU715" s="21"/>
      <c r="BX715" s="21"/>
      <c r="CG715" s="21"/>
      <c r="CH715" s="21"/>
      <c r="CI715" s="21"/>
      <c r="CJ715" s="21"/>
    </row>
    <row r="716" spans="60:88" x14ac:dyDescent="0.25">
      <c r="BH716" s="21"/>
      <c r="BI716" s="21"/>
      <c r="BJ716" s="21"/>
      <c r="BK716" s="21"/>
      <c r="BL716" s="21"/>
      <c r="BM716" s="21"/>
      <c r="BN716" s="21"/>
      <c r="BO716" s="21"/>
      <c r="BQ716" s="21"/>
      <c r="BR716" s="21"/>
      <c r="BS716" s="21"/>
      <c r="BU716" s="21"/>
      <c r="BX716" s="21"/>
      <c r="CG716" s="21"/>
      <c r="CH716" s="21"/>
      <c r="CI716" s="21"/>
      <c r="CJ716" s="21"/>
    </row>
    <row r="717" spans="60:88" x14ac:dyDescent="0.25">
      <c r="BH717" s="21"/>
      <c r="BI717" s="21"/>
      <c r="BJ717" s="21"/>
      <c r="BK717" s="21"/>
      <c r="BL717" s="21"/>
      <c r="BM717" s="21"/>
      <c r="BN717" s="21"/>
      <c r="BO717" s="21"/>
      <c r="BQ717" s="21"/>
      <c r="BR717" s="21"/>
      <c r="BS717" s="21"/>
      <c r="BU717" s="21"/>
      <c r="BX717" s="21"/>
      <c r="CG717" s="21"/>
      <c r="CH717" s="21"/>
      <c r="CI717" s="21"/>
      <c r="CJ717" s="21"/>
    </row>
    <row r="718" spans="60:88" x14ac:dyDescent="0.25">
      <c r="BH718" s="21"/>
      <c r="BI718" s="21"/>
      <c r="BJ718" s="21"/>
      <c r="BK718" s="21"/>
      <c r="BL718" s="21"/>
      <c r="BM718" s="21"/>
      <c r="BN718" s="21"/>
      <c r="BO718" s="21"/>
      <c r="BQ718" s="21"/>
      <c r="BR718" s="21"/>
      <c r="BS718" s="21"/>
      <c r="BU718" s="21"/>
      <c r="BX718" s="21"/>
      <c r="CG718" s="21"/>
      <c r="CH718" s="21"/>
      <c r="CI718" s="21"/>
      <c r="CJ718" s="21"/>
    </row>
    <row r="719" spans="60:88" x14ac:dyDescent="0.25">
      <c r="BH719" s="21"/>
      <c r="BI719" s="21"/>
      <c r="BJ719" s="21"/>
      <c r="BK719" s="21"/>
      <c r="BL719" s="21"/>
      <c r="BM719" s="21"/>
      <c r="BN719" s="21"/>
      <c r="BO719" s="21"/>
      <c r="BQ719" s="21"/>
      <c r="BR719" s="21"/>
      <c r="BS719" s="21"/>
      <c r="BU719" s="21"/>
      <c r="BX719" s="21"/>
      <c r="CG719" s="21"/>
      <c r="CH719" s="21"/>
      <c r="CI719" s="21"/>
      <c r="CJ719" s="21"/>
    </row>
    <row r="720" spans="60:88" x14ac:dyDescent="0.25">
      <c r="BH720" s="21"/>
      <c r="BI720" s="21"/>
      <c r="BJ720" s="21"/>
      <c r="BK720" s="21"/>
      <c r="BL720" s="21"/>
      <c r="BM720" s="21"/>
      <c r="BN720" s="21"/>
      <c r="BO720" s="21"/>
      <c r="BQ720" s="21"/>
      <c r="BR720" s="21"/>
      <c r="BS720" s="21"/>
      <c r="BU720" s="21"/>
      <c r="BX720" s="21"/>
      <c r="CG720" s="21"/>
      <c r="CH720" s="21"/>
      <c r="CI720" s="21"/>
      <c r="CJ720" s="21"/>
    </row>
    <row r="721" spans="60:88" x14ac:dyDescent="0.25">
      <c r="BH721" s="21"/>
      <c r="BI721" s="21"/>
      <c r="BJ721" s="21"/>
      <c r="BK721" s="21"/>
      <c r="BL721" s="21"/>
      <c r="BM721" s="21"/>
      <c r="BN721" s="21"/>
      <c r="BO721" s="21"/>
      <c r="BQ721" s="21"/>
      <c r="BR721" s="21"/>
      <c r="BS721" s="21"/>
      <c r="BU721" s="21"/>
      <c r="BX721" s="21"/>
      <c r="CG721" s="21"/>
      <c r="CH721" s="21"/>
      <c r="CI721" s="21"/>
      <c r="CJ721" s="21"/>
    </row>
    <row r="722" spans="60:88" x14ac:dyDescent="0.25">
      <c r="BH722" s="21"/>
      <c r="BI722" s="21"/>
      <c r="BJ722" s="21"/>
      <c r="BK722" s="21"/>
      <c r="BL722" s="21"/>
      <c r="BM722" s="21"/>
      <c r="BN722" s="21"/>
      <c r="BO722" s="21"/>
      <c r="BQ722" s="21"/>
      <c r="BR722" s="21"/>
      <c r="BS722" s="21"/>
      <c r="BU722" s="21"/>
      <c r="BX722" s="21"/>
      <c r="CG722" s="21"/>
      <c r="CH722" s="21"/>
      <c r="CI722" s="21"/>
      <c r="CJ722" s="21"/>
    </row>
    <row r="723" spans="60:88" x14ac:dyDescent="0.25">
      <c r="BH723" s="21"/>
      <c r="BI723" s="21"/>
      <c r="BJ723" s="21"/>
      <c r="BK723" s="21"/>
      <c r="BL723" s="21"/>
      <c r="BM723" s="21"/>
      <c r="BN723" s="21"/>
      <c r="BO723" s="21"/>
      <c r="BQ723" s="21"/>
      <c r="BR723" s="21"/>
      <c r="BS723" s="21"/>
      <c r="BU723" s="21"/>
      <c r="BX723" s="21"/>
      <c r="CG723" s="21"/>
      <c r="CH723" s="21"/>
      <c r="CI723" s="21"/>
      <c r="CJ723" s="21"/>
    </row>
    <row r="724" spans="60:88" x14ac:dyDescent="0.25">
      <c r="BH724" s="21"/>
      <c r="BI724" s="21"/>
      <c r="BJ724" s="21"/>
      <c r="BK724" s="21"/>
      <c r="BL724" s="21"/>
      <c r="BM724" s="21"/>
      <c r="BN724" s="21"/>
      <c r="BO724" s="21"/>
      <c r="BQ724" s="21"/>
      <c r="BR724" s="21"/>
      <c r="BS724" s="21"/>
      <c r="BU724" s="21"/>
      <c r="BX724" s="21"/>
      <c r="CG724" s="21"/>
      <c r="CH724" s="21"/>
      <c r="CI724" s="21"/>
      <c r="CJ724" s="21"/>
    </row>
    <row r="725" spans="60:88" x14ac:dyDescent="0.25">
      <c r="BH725" s="21"/>
      <c r="BI725" s="21"/>
      <c r="BJ725" s="21"/>
      <c r="BK725" s="21"/>
      <c r="BL725" s="21"/>
      <c r="BM725" s="21"/>
      <c r="BN725" s="21"/>
      <c r="BO725" s="21"/>
      <c r="BQ725" s="21"/>
      <c r="BR725" s="21"/>
      <c r="BS725" s="21"/>
      <c r="BU725" s="21"/>
      <c r="BX725" s="21"/>
      <c r="CG725" s="21"/>
      <c r="CH725" s="21"/>
      <c r="CI725" s="21"/>
      <c r="CJ725" s="21"/>
    </row>
    <row r="726" spans="60:88" x14ac:dyDescent="0.25">
      <c r="BH726" s="21"/>
      <c r="BI726" s="21"/>
      <c r="BJ726" s="21"/>
      <c r="BK726" s="21"/>
      <c r="BL726" s="21"/>
      <c r="BM726" s="21"/>
      <c r="BN726" s="21"/>
      <c r="BO726" s="21"/>
      <c r="BQ726" s="21"/>
      <c r="BR726" s="21"/>
      <c r="BS726" s="21"/>
      <c r="BU726" s="21"/>
      <c r="BX726" s="21"/>
      <c r="CG726" s="21"/>
      <c r="CH726" s="21"/>
      <c r="CI726" s="21"/>
      <c r="CJ726" s="21"/>
    </row>
    <row r="727" spans="60:88" x14ac:dyDescent="0.25">
      <c r="BH727" s="21"/>
      <c r="BI727" s="21"/>
      <c r="BJ727" s="21"/>
      <c r="BK727" s="21"/>
      <c r="BL727" s="21"/>
      <c r="BM727" s="21"/>
      <c r="BN727" s="21"/>
      <c r="BO727" s="21"/>
      <c r="BQ727" s="21"/>
      <c r="BR727" s="21"/>
      <c r="BS727" s="21"/>
      <c r="BU727" s="21"/>
      <c r="BX727" s="21"/>
      <c r="CG727" s="21"/>
      <c r="CH727" s="21"/>
      <c r="CI727" s="21"/>
      <c r="CJ727" s="21"/>
    </row>
    <row r="728" spans="60:88" x14ac:dyDescent="0.25">
      <c r="BH728" s="21"/>
      <c r="BI728" s="21"/>
      <c r="BJ728" s="21"/>
      <c r="BK728" s="21"/>
      <c r="BL728" s="21"/>
      <c r="BM728" s="21"/>
      <c r="BN728" s="21"/>
      <c r="BO728" s="21"/>
      <c r="BQ728" s="21"/>
      <c r="BR728" s="21"/>
      <c r="BS728" s="21"/>
      <c r="BU728" s="21"/>
      <c r="BX728" s="21"/>
      <c r="CG728" s="21"/>
      <c r="CH728" s="21"/>
      <c r="CI728" s="21"/>
      <c r="CJ728" s="21"/>
    </row>
    <row r="729" spans="60:88" x14ac:dyDescent="0.25">
      <c r="BH729" s="21"/>
      <c r="BI729" s="21"/>
      <c r="BJ729" s="21"/>
      <c r="BK729" s="21"/>
      <c r="BL729" s="21"/>
      <c r="BM729" s="21"/>
      <c r="BN729" s="21"/>
      <c r="BO729" s="21"/>
      <c r="BQ729" s="21"/>
      <c r="BR729" s="21"/>
      <c r="BS729" s="21"/>
      <c r="BU729" s="21"/>
      <c r="BX729" s="21"/>
      <c r="CG729" s="21"/>
      <c r="CH729" s="21"/>
      <c r="CI729" s="21"/>
      <c r="CJ729" s="21"/>
    </row>
    <row r="730" spans="60:88" x14ac:dyDescent="0.25">
      <c r="BH730" s="21"/>
      <c r="BI730" s="21"/>
      <c r="BJ730" s="21"/>
      <c r="BK730" s="21"/>
      <c r="BL730" s="21"/>
      <c r="BM730" s="21"/>
      <c r="BN730" s="21"/>
      <c r="BO730" s="21"/>
      <c r="BQ730" s="21"/>
      <c r="BR730" s="21"/>
      <c r="BS730" s="21"/>
      <c r="BU730" s="21"/>
      <c r="BX730" s="21"/>
      <c r="CG730" s="21"/>
      <c r="CH730" s="21"/>
      <c r="CI730" s="21"/>
      <c r="CJ730" s="21"/>
    </row>
    <row r="731" spans="60:88" x14ac:dyDescent="0.25">
      <c r="BH731" s="21"/>
      <c r="BI731" s="21"/>
      <c r="BJ731" s="21"/>
      <c r="BK731" s="21"/>
      <c r="BL731" s="21"/>
      <c r="BM731" s="21"/>
      <c r="BN731" s="21"/>
      <c r="BO731" s="21"/>
      <c r="BQ731" s="21"/>
      <c r="BR731" s="21"/>
      <c r="BS731" s="21"/>
      <c r="BU731" s="21"/>
      <c r="BX731" s="21"/>
      <c r="CG731" s="21"/>
      <c r="CH731" s="21"/>
      <c r="CI731" s="21"/>
      <c r="CJ731" s="21"/>
    </row>
    <row r="732" spans="60:88" x14ac:dyDescent="0.25">
      <c r="BH732" s="21"/>
      <c r="BI732" s="21"/>
      <c r="BJ732" s="21"/>
      <c r="BK732" s="21"/>
      <c r="BL732" s="21"/>
      <c r="BM732" s="21"/>
      <c r="BN732" s="21"/>
      <c r="BO732" s="21"/>
      <c r="BQ732" s="21"/>
      <c r="BR732" s="21"/>
      <c r="BS732" s="21"/>
      <c r="BU732" s="21"/>
      <c r="BX732" s="21"/>
      <c r="CG732" s="21"/>
      <c r="CH732" s="21"/>
      <c r="CI732" s="21"/>
      <c r="CJ732" s="21"/>
    </row>
    <row r="733" spans="60:88" x14ac:dyDescent="0.25">
      <c r="BH733" s="21"/>
      <c r="BI733" s="21"/>
      <c r="BJ733" s="21"/>
      <c r="BK733" s="21"/>
      <c r="BL733" s="21"/>
      <c r="BM733" s="21"/>
      <c r="BN733" s="21"/>
      <c r="BO733" s="21"/>
      <c r="BQ733" s="21"/>
      <c r="BR733" s="21"/>
      <c r="BS733" s="21"/>
      <c r="BU733" s="21"/>
      <c r="BX733" s="21"/>
      <c r="CG733" s="21"/>
      <c r="CH733" s="21"/>
      <c r="CI733" s="21"/>
      <c r="CJ733" s="21"/>
    </row>
    <row r="734" spans="60:88" x14ac:dyDescent="0.25">
      <c r="BH734" s="21"/>
      <c r="BI734" s="21"/>
      <c r="BJ734" s="21"/>
      <c r="BK734" s="21"/>
      <c r="BL734" s="21"/>
      <c r="BM734" s="21"/>
      <c r="BN734" s="21"/>
      <c r="BO734" s="21"/>
      <c r="BQ734" s="21"/>
      <c r="BR734" s="21"/>
      <c r="BS734" s="21"/>
      <c r="BU734" s="21"/>
      <c r="BX734" s="21"/>
      <c r="CG734" s="21"/>
      <c r="CH734" s="21"/>
      <c r="CI734" s="21"/>
      <c r="CJ734" s="21"/>
    </row>
    <row r="735" spans="60:88" x14ac:dyDescent="0.25">
      <c r="BH735" s="21"/>
      <c r="BI735" s="21"/>
      <c r="BJ735" s="21"/>
      <c r="BK735" s="21"/>
      <c r="BL735" s="21"/>
      <c r="BM735" s="21"/>
      <c r="BN735" s="21"/>
      <c r="BO735" s="21"/>
      <c r="BQ735" s="21"/>
      <c r="BR735" s="21"/>
      <c r="BS735" s="21"/>
      <c r="BU735" s="21"/>
      <c r="BX735" s="21"/>
      <c r="CG735" s="21"/>
      <c r="CH735" s="21"/>
      <c r="CI735" s="21"/>
      <c r="CJ735" s="21"/>
    </row>
    <row r="736" spans="60:88" x14ac:dyDescent="0.25">
      <c r="BH736" s="21"/>
      <c r="BI736" s="21"/>
      <c r="BJ736" s="21"/>
      <c r="BK736" s="21"/>
      <c r="BL736" s="21"/>
      <c r="BM736" s="21"/>
      <c r="BN736" s="21"/>
      <c r="BO736" s="21"/>
      <c r="BQ736" s="21"/>
      <c r="BR736" s="21"/>
      <c r="BS736" s="21"/>
      <c r="BU736" s="21"/>
      <c r="BX736" s="21"/>
      <c r="CG736" s="21"/>
      <c r="CH736" s="21"/>
      <c r="CI736" s="21"/>
      <c r="CJ736" s="21"/>
    </row>
    <row r="737" spans="60:88" x14ac:dyDescent="0.25">
      <c r="BH737" s="21"/>
      <c r="BI737" s="21"/>
      <c r="BJ737" s="21"/>
      <c r="BK737" s="21"/>
      <c r="BL737" s="21"/>
      <c r="BM737" s="21"/>
      <c r="BN737" s="21"/>
      <c r="BO737" s="21"/>
      <c r="BQ737" s="21"/>
      <c r="BR737" s="21"/>
      <c r="BS737" s="21"/>
      <c r="BU737" s="21"/>
      <c r="BX737" s="21"/>
      <c r="CG737" s="21"/>
      <c r="CH737" s="21"/>
      <c r="CI737" s="21"/>
      <c r="CJ737" s="21"/>
    </row>
    <row r="738" spans="60:88" x14ac:dyDescent="0.25">
      <c r="BH738" s="21"/>
      <c r="BI738" s="21"/>
      <c r="BJ738" s="21"/>
      <c r="BK738" s="21"/>
      <c r="BL738" s="21"/>
      <c r="BM738" s="21"/>
      <c r="BN738" s="21"/>
      <c r="BO738" s="21"/>
      <c r="BQ738" s="21"/>
      <c r="BR738" s="21"/>
      <c r="BS738" s="21"/>
      <c r="BU738" s="21"/>
      <c r="BX738" s="21"/>
      <c r="CG738" s="21"/>
      <c r="CH738" s="21"/>
      <c r="CI738" s="21"/>
      <c r="CJ738" s="21"/>
    </row>
    <row r="739" spans="60:88" x14ac:dyDescent="0.25">
      <c r="BH739" s="21"/>
      <c r="BI739" s="21"/>
      <c r="BJ739" s="21"/>
      <c r="BK739" s="21"/>
      <c r="BL739" s="21"/>
      <c r="BM739" s="21"/>
      <c r="BN739" s="21"/>
      <c r="BO739" s="21"/>
      <c r="BQ739" s="21"/>
      <c r="BR739" s="21"/>
      <c r="BS739" s="21"/>
      <c r="BU739" s="21"/>
      <c r="BX739" s="21"/>
      <c r="CG739" s="21"/>
      <c r="CH739" s="21"/>
      <c r="CI739" s="21"/>
      <c r="CJ739" s="21"/>
    </row>
    <row r="740" spans="60:88" x14ac:dyDescent="0.25">
      <c r="BH740" s="21"/>
      <c r="BI740" s="21"/>
      <c r="BJ740" s="21"/>
      <c r="BK740" s="21"/>
      <c r="BL740" s="21"/>
      <c r="BM740" s="21"/>
      <c r="BN740" s="21"/>
      <c r="BO740" s="21"/>
      <c r="BQ740" s="21"/>
      <c r="BR740" s="21"/>
      <c r="BS740" s="21"/>
      <c r="BU740" s="21"/>
      <c r="BX740" s="21"/>
      <c r="CG740" s="21"/>
      <c r="CH740" s="21"/>
      <c r="CI740" s="21"/>
      <c r="CJ740" s="21"/>
    </row>
    <row r="741" spans="60:88" x14ac:dyDescent="0.25">
      <c r="BH741" s="21"/>
      <c r="BI741" s="21"/>
      <c r="BJ741" s="21"/>
      <c r="BK741" s="21"/>
      <c r="BL741" s="21"/>
      <c r="BM741" s="21"/>
      <c r="BN741" s="21"/>
      <c r="BO741" s="21"/>
      <c r="BQ741" s="21"/>
      <c r="BR741" s="21"/>
      <c r="BS741" s="21"/>
      <c r="BU741" s="21"/>
      <c r="BX741" s="21"/>
      <c r="CG741" s="21"/>
      <c r="CH741" s="21"/>
      <c r="CI741" s="21"/>
      <c r="CJ741" s="21"/>
    </row>
    <row r="742" spans="60:88" x14ac:dyDescent="0.25">
      <c r="BH742" s="21"/>
      <c r="BI742" s="21"/>
      <c r="BJ742" s="21"/>
      <c r="BK742" s="21"/>
      <c r="BL742" s="21"/>
      <c r="BM742" s="21"/>
      <c r="BN742" s="21"/>
      <c r="BO742" s="21"/>
      <c r="BQ742" s="21"/>
      <c r="BR742" s="21"/>
      <c r="BS742" s="21"/>
      <c r="BU742" s="21"/>
      <c r="BX742" s="21"/>
      <c r="CG742" s="21"/>
      <c r="CH742" s="21"/>
      <c r="CI742" s="21"/>
      <c r="CJ742" s="21"/>
    </row>
    <row r="743" spans="60:88" x14ac:dyDescent="0.25">
      <c r="BH743" s="21"/>
      <c r="BI743" s="21"/>
      <c r="BJ743" s="21"/>
      <c r="BK743" s="21"/>
      <c r="BL743" s="21"/>
      <c r="BM743" s="21"/>
      <c r="BN743" s="21"/>
      <c r="BO743" s="21"/>
      <c r="BQ743" s="21"/>
      <c r="BR743" s="21"/>
      <c r="BS743" s="21"/>
      <c r="BU743" s="21"/>
      <c r="BX743" s="21"/>
      <c r="CG743" s="21"/>
      <c r="CH743" s="21"/>
      <c r="CI743" s="21"/>
      <c r="CJ743" s="21"/>
    </row>
    <row r="744" spans="60:88" x14ac:dyDescent="0.25">
      <c r="BH744" s="21"/>
      <c r="BI744" s="21"/>
      <c r="BJ744" s="21"/>
      <c r="BK744" s="21"/>
      <c r="BL744" s="21"/>
      <c r="BM744" s="21"/>
      <c r="BN744" s="21"/>
      <c r="BO744" s="21"/>
      <c r="BQ744" s="21"/>
      <c r="BR744" s="21"/>
      <c r="BS744" s="21"/>
      <c r="BU744" s="21"/>
      <c r="BX744" s="21"/>
      <c r="CG744" s="21"/>
      <c r="CH744" s="21"/>
      <c r="CI744" s="21"/>
      <c r="CJ744" s="21"/>
    </row>
    <row r="745" spans="60:88" x14ac:dyDescent="0.25">
      <c r="BH745" s="21"/>
      <c r="BI745" s="21"/>
      <c r="BJ745" s="21"/>
      <c r="BK745" s="21"/>
      <c r="BL745" s="21"/>
      <c r="BM745" s="21"/>
      <c r="BN745" s="21"/>
      <c r="BO745" s="21"/>
      <c r="BQ745" s="21"/>
      <c r="BR745" s="21"/>
      <c r="BS745" s="21"/>
      <c r="BU745" s="21"/>
      <c r="BX745" s="21"/>
      <c r="CG745" s="21"/>
      <c r="CH745" s="21"/>
      <c r="CI745" s="21"/>
      <c r="CJ745" s="21"/>
    </row>
    <row r="746" spans="60:88" x14ac:dyDescent="0.25">
      <c r="BH746" s="21"/>
      <c r="BI746" s="21"/>
      <c r="BJ746" s="21"/>
      <c r="BK746" s="21"/>
      <c r="BL746" s="21"/>
      <c r="BM746" s="21"/>
      <c r="BN746" s="21"/>
      <c r="BO746" s="21"/>
      <c r="BQ746" s="21"/>
      <c r="BR746" s="21"/>
      <c r="BS746" s="21"/>
      <c r="BU746" s="21"/>
      <c r="BX746" s="21"/>
      <c r="CG746" s="21"/>
      <c r="CH746" s="21"/>
      <c r="CI746" s="21"/>
      <c r="CJ746" s="21"/>
    </row>
    <row r="747" spans="60:88" x14ac:dyDescent="0.25">
      <c r="BH747" s="21"/>
      <c r="BI747" s="21"/>
      <c r="BJ747" s="21"/>
      <c r="BK747" s="21"/>
      <c r="BL747" s="21"/>
      <c r="BM747" s="21"/>
      <c r="BN747" s="21"/>
      <c r="BO747" s="21"/>
      <c r="BQ747" s="21"/>
      <c r="BR747" s="21"/>
      <c r="BS747" s="21"/>
      <c r="BU747" s="21"/>
      <c r="BX747" s="21"/>
      <c r="CG747" s="21"/>
      <c r="CH747" s="21"/>
      <c r="CI747" s="21"/>
      <c r="CJ747" s="21"/>
    </row>
    <row r="748" spans="60:88" x14ac:dyDescent="0.25">
      <c r="BH748" s="21"/>
      <c r="BI748" s="21"/>
      <c r="BJ748" s="21"/>
      <c r="BK748" s="21"/>
      <c r="BL748" s="21"/>
      <c r="BM748" s="21"/>
      <c r="BN748" s="21"/>
      <c r="BO748" s="21"/>
      <c r="BQ748" s="21"/>
      <c r="BR748" s="21"/>
      <c r="BS748" s="21"/>
      <c r="BU748" s="21"/>
      <c r="BX748" s="21"/>
      <c r="CG748" s="21"/>
      <c r="CH748" s="21"/>
      <c r="CI748" s="21"/>
      <c r="CJ748" s="21"/>
    </row>
    <row r="749" spans="60:88" x14ac:dyDescent="0.25">
      <c r="BH749" s="21"/>
      <c r="BI749" s="21"/>
      <c r="BJ749" s="21"/>
      <c r="BK749" s="21"/>
      <c r="BL749" s="21"/>
      <c r="BM749" s="21"/>
      <c r="BN749" s="21"/>
      <c r="BO749" s="21"/>
      <c r="BQ749" s="21"/>
      <c r="BR749" s="21"/>
      <c r="BS749" s="21"/>
      <c r="BU749" s="21"/>
      <c r="BX749" s="21"/>
      <c r="CG749" s="21"/>
      <c r="CH749" s="21"/>
      <c r="CI749" s="21"/>
      <c r="CJ749" s="21"/>
    </row>
    <row r="750" spans="60:88" x14ac:dyDescent="0.25">
      <c r="BH750" s="21"/>
      <c r="BI750" s="21"/>
      <c r="BJ750" s="21"/>
      <c r="BK750" s="21"/>
      <c r="BL750" s="21"/>
      <c r="BM750" s="21"/>
      <c r="BN750" s="21"/>
      <c r="BO750" s="21"/>
      <c r="BQ750" s="21"/>
      <c r="BR750" s="21"/>
      <c r="BS750" s="21"/>
      <c r="BU750" s="21"/>
      <c r="BX750" s="21"/>
      <c r="CG750" s="21"/>
      <c r="CH750" s="21"/>
      <c r="CI750" s="21"/>
      <c r="CJ750" s="21"/>
    </row>
    <row r="751" spans="60:88" x14ac:dyDescent="0.25">
      <c r="BH751" s="21"/>
      <c r="BI751" s="21"/>
      <c r="BJ751" s="21"/>
      <c r="BK751" s="21"/>
      <c r="BL751" s="21"/>
      <c r="BM751" s="21"/>
      <c r="BN751" s="21"/>
      <c r="BO751" s="21"/>
      <c r="BQ751" s="21"/>
      <c r="BR751" s="21"/>
      <c r="BS751" s="21"/>
      <c r="BU751" s="21"/>
      <c r="BX751" s="21"/>
      <c r="CG751" s="21"/>
      <c r="CH751" s="21"/>
      <c r="CI751" s="21"/>
      <c r="CJ751" s="21"/>
    </row>
    <row r="752" spans="60:88" x14ac:dyDescent="0.25">
      <c r="BH752" s="21"/>
      <c r="BI752" s="21"/>
      <c r="BJ752" s="21"/>
      <c r="BK752" s="21"/>
      <c r="BL752" s="21"/>
      <c r="BM752" s="21"/>
      <c r="BN752" s="21"/>
      <c r="BO752" s="21"/>
      <c r="BQ752" s="21"/>
      <c r="BR752" s="21"/>
      <c r="BS752" s="21"/>
      <c r="BU752" s="21"/>
      <c r="BX752" s="21"/>
      <c r="CG752" s="21"/>
      <c r="CH752" s="21"/>
      <c r="CI752" s="21"/>
      <c r="CJ752" s="21"/>
    </row>
    <row r="753" spans="60:88" x14ac:dyDescent="0.25">
      <c r="BH753" s="21"/>
      <c r="BI753" s="21"/>
      <c r="BJ753" s="21"/>
      <c r="BK753" s="21"/>
      <c r="BL753" s="21"/>
      <c r="BM753" s="21"/>
      <c r="BN753" s="21"/>
      <c r="BO753" s="21"/>
      <c r="BQ753" s="21"/>
      <c r="BR753" s="21"/>
      <c r="BS753" s="21"/>
      <c r="BU753" s="21"/>
      <c r="BX753" s="21"/>
      <c r="CG753" s="21"/>
      <c r="CH753" s="21"/>
      <c r="CI753" s="21"/>
      <c r="CJ753" s="21"/>
    </row>
    <row r="754" spans="60:88" x14ac:dyDescent="0.25">
      <c r="BH754" s="21"/>
      <c r="BI754" s="21"/>
      <c r="BJ754" s="21"/>
      <c r="BK754" s="21"/>
      <c r="BL754" s="21"/>
      <c r="BM754" s="21"/>
      <c r="BN754" s="21"/>
      <c r="BO754" s="21"/>
      <c r="BQ754" s="21"/>
      <c r="BR754" s="21"/>
      <c r="BS754" s="21"/>
      <c r="BU754" s="21"/>
      <c r="BX754" s="21"/>
      <c r="CG754" s="21"/>
      <c r="CH754" s="21"/>
      <c r="CI754" s="21"/>
      <c r="CJ754" s="21"/>
    </row>
    <row r="755" spans="60:88" x14ac:dyDescent="0.25">
      <c r="BH755" s="21"/>
      <c r="BI755" s="21"/>
      <c r="BJ755" s="21"/>
      <c r="BK755" s="21"/>
      <c r="BL755" s="21"/>
      <c r="BM755" s="21"/>
      <c r="BN755" s="21"/>
      <c r="BO755" s="21"/>
      <c r="BQ755" s="21"/>
      <c r="BR755" s="21"/>
      <c r="BS755" s="21"/>
      <c r="BU755" s="21"/>
      <c r="BX755" s="21"/>
      <c r="CG755" s="21"/>
      <c r="CH755" s="21"/>
      <c r="CI755" s="21"/>
      <c r="CJ755" s="21"/>
    </row>
    <row r="756" spans="60:88" x14ac:dyDescent="0.25">
      <c r="BH756" s="21"/>
      <c r="BI756" s="21"/>
      <c r="BJ756" s="21"/>
      <c r="BK756" s="21"/>
      <c r="BL756" s="21"/>
      <c r="BM756" s="21"/>
      <c r="BN756" s="21"/>
      <c r="BO756" s="21"/>
      <c r="BQ756" s="21"/>
      <c r="BR756" s="21"/>
      <c r="BS756" s="21"/>
      <c r="BU756" s="21"/>
      <c r="BX756" s="21"/>
      <c r="CG756" s="21"/>
      <c r="CH756" s="21"/>
      <c r="CI756" s="21"/>
      <c r="CJ756" s="21"/>
    </row>
    <row r="757" spans="60:88" x14ac:dyDescent="0.25">
      <c r="BH757" s="21"/>
      <c r="BI757" s="21"/>
      <c r="BJ757" s="21"/>
      <c r="BK757" s="21"/>
      <c r="BL757" s="21"/>
      <c r="BM757" s="21"/>
      <c r="BN757" s="21"/>
      <c r="BO757" s="21"/>
      <c r="BQ757" s="21"/>
      <c r="BR757" s="21"/>
      <c r="BS757" s="21"/>
      <c r="BU757" s="21"/>
      <c r="BX757" s="21"/>
      <c r="CG757" s="21"/>
      <c r="CH757" s="21"/>
      <c r="CI757" s="21"/>
      <c r="CJ757" s="21"/>
    </row>
    <row r="758" spans="60:88" x14ac:dyDescent="0.25">
      <c r="BH758" s="21"/>
      <c r="BI758" s="21"/>
      <c r="BJ758" s="21"/>
      <c r="BK758" s="21"/>
      <c r="BL758" s="21"/>
      <c r="BM758" s="21"/>
      <c r="BN758" s="21"/>
      <c r="BO758" s="21"/>
      <c r="BQ758" s="21"/>
      <c r="BR758" s="21"/>
      <c r="BS758" s="21"/>
      <c r="BU758" s="21"/>
      <c r="BX758" s="21"/>
      <c r="CG758" s="21"/>
      <c r="CH758" s="21"/>
      <c r="CI758" s="21"/>
      <c r="CJ758" s="21"/>
    </row>
    <row r="759" spans="60:88" x14ac:dyDescent="0.25">
      <c r="BH759" s="21"/>
      <c r="BI759" s="21"/>
      <c r="BJ759" s="21"/>
      <c r="BK759" s="21"/>
      <c r="BL759" s="21"/>
      <c r="BM759" s="21"/>
      <c r="BN759" s="21"/>
      <c r="BO759" s="21"/>
      <c r="BQ759" s="21"/>
      <c r="BR759" s="21"/>
      <c r="BS759" s="21"/>
      <c r="BU759" s="21"/>
      <c r="BX759" s="21"/>
      <c r="CG759" s="21"/>
      <c r="CH759" s="21"/>
      <c r="CI759" s="21"/>
      <c r="CJ759" s="21"/>
    </row>
    <row r="760" spans="60:88" x14ac:dyDescent="0.25">
      <c r="BH760" s="21"/>
      <c r="BI760" s="21"/>
      <c r="BJ760" s="21"/>
      <c r="BK760" s="21"/>
      <c r="BL760" s="21"/>
      <c r="BM760" s="21"/>
      <c r="BN760" s="21"/>
      <c r="BO760" s="21"/>
      <c r="BQ760" s="21"/>
      <c r="BR760" s="21"/>
      <c r="BS760" s="21"/>
      <c r="BU760" s="21"/>
      <c r="BX760" s="21"/>
      <c r="CG760" s="21"/>
      <c r="CH760" s="21"/>
      <c r="CI760" s="21"/>
      <c r="CJ760" s="21"/>
    </row>
    <row r="761" spans="60:88" x14ac:dyDescent="0.25">
      <c r="BH761" s="21"/>
      <c r="BI761" s="21"/>
      <c r="BJ761" s="21"/>
      <c r="BK761" s="21"/>
      <c r="BL761" s="21"/>
      <c r="BM761" s="21"/>
      <c r="BN761" s="21"/>
      <c r="BO761" s="21"/>
      <c r="BQ761" s="21"/>
      <c r="BR761" s="21"/>
      <c r="BS761" s="21"/>
      <c r="BU761" s="21"/>
      <c r="BX761" s="21"/>
      <c r="CG761" s="21"/>
      <c r="CH761" s="21"/>
      <c r="CI761" s="21"/>
      <c r="CJ761" s="21"/>
    </row>
    <row r="762" spans="60:88" x14ac:dyDescent="0.25">
      <c r="BH762" s="21"/>
      <c r="BI762" s="21"/>
      <c r="BJ762" s="21"/>
      <c r="BK762" s="21"/>
      <c r="BL762" s="21"/>
      <c r="BM762" s="21"/>
      <c r="BN762" s="21"/>
      <c r="BO762" s="21"/>
      <c r="BQ762" s="21"/>
      <c r="BR762" s="21"/>
      <c r="BS762" s="21"/>
      <c r="BU762" s="21"/>
      <c r="BX762" s="21"/>
      <c r="CG762" s="21"/>
      <c r="CH762" s="21"/>
      <c r="CI762" s="21"/>
      <c r="CJ762" s="21"/>
    </row>
    <row r="763" spans="60:88" x14ac:dyDescent="0.25">
      <c r="BH763" s="21"/>
      <c r="BI763" s="21"/>
      <c r="BJ763" s="21"/>
      <c r="BK763" s="21"/>
      <c r="BL763" s="21"/>
      <c r="BM763" s="21"/>
      <c r="BN763" s="21"/>
      <c r="BO763" s="21"/>
      <c r="BQ763" s="21"/>
      <c r="BR763" s="21"/>
      <c r="BS763" s="21"/>
      <c r="BU763" s="21"/>
      <c r="BX763" s="21"/>
      <c r="CG763" s="21"/>
      <c r="CH763" s="21"/>
      <c r="CI763" s="21"/>
      <c r="CJ763" s="21"/>
    </row>
    <row r="764" spans="60:88" x14ac:dyDescent="0.25">
      <c r="BH764" s="21"/>
      <c r="BI764" s="21"/>
      <c r="BJ764" s="21"/>
      <c r="BK764" s="21"/>
      <c r="BL764" s="21"/>
      <c r="BM764" s="21"/>
      <c r="BN764" s="21"/>
      <c r="BO764" s="21"/>
      <c r="BQ764" s="21"/>
      <c r="BR764" s="21"/>
      <c r="BS764" s="21"/>
      <c r="BU764" s="21"/>
      <c r="BX764" s="21"/>
      <c r="CG764" s="21"/>
      <c r="CH764" s="21"/>
      <c r="CI764" s="21"/>
      <c r="CJ764" s="21"/>
    </row>
    <row r="765" spans="60:88" x14ac:dyDescent="0.25">
      <c r="BH765" s="21"/>
      <c r="BI765" s="21"/>
      <c r="BJ765" s="21"/>
      <c r="BK765" s="21"/>
      <c r="BL765" s="21"/>
      <c r="BM765" s="21"/>
      <c r="BN765" s="21"/>
      <c r="BO765" s="21"/>
      <c r="BQ765" s="21"/>
      <c r="BR765" s="21"/>
      <c r="BS765" s="21"/>
      <c r="BU765" s="21"/>
      <c r="BX765" s="21"/>
      <c r="CG765" s="21"/>
      <c r="CH765" s="21"/>
      <c r="CI765" s="21"/>
      <c r="CJ765" s="21"/>
    </row>
    <row r="766" spans="60:88" x14ac:dyDescent="0.25">
      <c r="BH766" s="21"/>
      <c r="BI766" s="21"/>
      <c r="BJ766" s="21"/>
      <c r="BK766" s="21"/>
      <c r="BL766" s="21"/>
      <c r="BM766" s="21"/>
      <c r="BN766" s="21"/>
      <c r="BO766" s="21"/>
      <c r="BQ766" s="21"/>
      <c r="BR766" s="21"/>
      <c r="BS766" s="21"/>
      <c r="BU766" s="21"/>
      <c r="BX766" s="21"/>
      <c r="CG766" s="21"/>
      <c r="CH766" s="21"/>
      <c r="CI766" s="21"/>
      <c r="CJ766" s="21"/>
    </row>
    <row r="767" spans="60:88" x14ac:dyDescent="0.25">
      <c r="BH767" s="21"/>
      <c r="BI767" s="21"/>
      <c r="BJ767" s="21"/>
      <c r="BK767" s="21"/>
      <c r="BL767" s="21"/>
      <c r="BM767" s="21"/>
      <c r="BN767" s="21"/>
      <c r="BO767" s="21"/>
      <c r="BQ767" s="21"/>
      <c r="BR767" s="21"/>
      <c r="BS767" s="21"/>
      <c r="BU767" s="21"/>
      <c r="BX767" s="21"/>
      <c r="CG767" s="21"/>
      <c r="CH767" s="21"/>
      <c r="CI767" s="21"/>
      <c r="CJ767" s="21"/>
    </row>
    <row r="768" spans="60:88" x14ac:dyDescent="0.25">
      <c r="BH768" s="21"/>
      <c r="BI768" s="21"/>
      <c r="BJ768" s="21"/>
      <c r="BK768" s="21"/>
      <c r="BL768" s="21"/>
      <c r="BM768" s="21"/>
      <c r="BN768" s="21"/>
      <c r="BO768" s="21"/>
      <c r="BQ768" s="21"/>
      <c r="BR768" s="21"/>
      <c r="BS768" s="21"/>
      <c r="BU768" s="21"/>
      <c r="BX768" s="21"/>
      <c r="CG768" s="21"/>
      <c r="CH768" s="21"/>
      <c r="CI768" s="21"/>
      <c r="CJ768" s="21"/>
    </row>
    <row r="769" spans="60:88" x14ac:dyDescent="0.25">
      <c r="BH769" s="21"/>
      <c r="BI769" s="21"/>
      <c r="BJ769" s="21"/>
      <c r="BK769" s="21"/>
      <c r="BL769" s="21"/>
      <c r="BM769" s="21"/>
      <c r="BN769" s="21"/>
      <c r="BO769" s="21"/>
      <c r="BQ769" s="21"/>
      <c r="BR769" s="21"/>
      <c r="BS769" s="21"/>
      <c r="BU769" s="21"/>
      <c r="BX769" s="21"/>
      <c r="CG769" s="21"/>
      <c r="CH769" s="21"/>
      <c r="CI769" s="21"/>
      <c r="CJ769" s="21"/>
    </row>
    <row r="770" spans="60:88" x14ac:dyDescent="0.25">
      <c r="BH770" s="21"/>
      <c r="BI770" s="21"/>
      <c r="BJ770" s="21"/>
      <c r="BK770" s="21"/>
      <c r="BL770" s="21"/>
      <c r="BM770" s="21"/>
      <c r="BN770" s="21"/>
      <c r="BO770" s="21"/>
      <c r="BQ770" s="21"/>
      <c r="BR770" s="21"/>
      <c r="BS770" s="21"/>
      <c r="BU770" s="21"/>
      <c r="BX770" s="21"/>
      <c r="CG770" s="21"/>
      <c r="CH770" s="21"/>
      <c r="CI770" s="21"/>
      <c r="CJ770" s="21"/>
    </row>
    <row r="771" spans="60:88" x14ac:dyDescent="0.25">
      <c r="BH771" s="21"/>
      <c r="BI771" s="21"/>
      <c r="BJ771" s="21"/>
      <c r="BK771" s="21"/>
      <c r="BL771" s="21"/>
      <c r="BM771" s="21"/>
      <c r="BN771" s="21"/>
      <c r="BO771" s="21"/>
      <c r="BQ771" s="21"/>
      <c r="BR771" s="21"/>
      <c r="BS771" s="21"/>
      <c r="BU771" s="21"/>
      <c r="BX771" s="21"/>
      <c r="CG771" s="21"/>
      <c r="CH771" s="21"/>
      <c r="CI771" s="21"/>
      <c r="CJ771" s="21"/>
    </row>
    <row r="772" spans="60:88" x14ac:dyDescent="0.25">
      <c r="BH772" s="21"/>
      <c r="BI772" s="21"/>
      <c r="BJ772" s="21"/>
      <c r="BK772" s="21"/>
      <c r="BL772" s="21"/>
      <c r="BM772" s="21"/>
      <c r="BN772" s="21"/>
      <c r="BO772" s="21"/>
      <c r="BQ772" s="21"/>
      <c r="BR772" s="21"/>
      <c r="BS772" s="21"/>
      <c r="BU772" s="21"/>
      <c r="BX772" s="21"/>
      <c r="CG772" s="21"/>
      <c r="CH772" s="21"/>
      <c r="CI772" s="21"/>
      <c r="CJ772" s="21"/>
    </row>
    <row r="773" spans="60:88" x14ac:dyDescent="0.25">
      <c r="BH773" s="21"/>
      <c r="BI773" s="21"/>
      <c r="BJ773" s="21"/>
      <c r="BK773" s="21"/>
      <c r="BL773" s="21"/>
      <c r="BM773" s="21"/>
      <c r="BN773" s="21"/>
      <c r="BO773" s="21"/>
      <c r="BQ773" s="21"/>
      <c r="BR773" s="21"/>
      <c r="BS773" s="21"/>
      <c r="BU773" s="21"/>
      <c r="BX773" s="21"/>
      <c r="CG773" s="21"/>
      <c r="CH773" s="21"/>
      <c r="CI773" s="21"/>
      <c r="CJ773" s="21"/>
    </row>
    <row r="774" spans="60:88" x14ac:dyDescent="0.25">
      <c r="BH774" s="21"/>
      <c r="BI774" s="21"/>
      <c r="BJ774" s="21"/>
      <c r="BK774" s="21"/>
      <c r="BL774" s="21"/>
      <c r="BM774" s="21"/>
      <c r="BN774" s="21"/>
      <c r="BO774" s="21"/>
      <c r="BQ774" s="21"/>
      <c r="BR774" s="21"/>
      <c r="BS774" s="21"/>
      <c r="BU774" s="21"/>
      <c r="BX774" s="21"/>
      <c r="CG774" s="21"/>
      <c r="CH774" s="21"/>
      <c r="CI774" s="21"/>
      <c r="CJ774" s="21"/>
    </row>
    <row r="775" spans="60:88" x14ac:dyDescent="0.25">
      <c r="BH775" s="21"/>
      <c r="BI775" s="21"/>
      <c r="BJ775" s="21"/>
      <c r="BK775" s="21"/>
      <c r="BL775" s="21"/>
      <c r="BM775" s="21"/>
      <c r="BN775" s="21"/>
      <c r="BO775" s="21"/>
      <c r="BQ775" s="21"/>
      <c r="BR775" s="21"/>
      <c r="BS775" s="21"/>
      <c r="BU775" s="21"/>
      <c r="BX775" s="21"/>
      <c r="CG775" s="21"/>
      <c r="CH775" s="21"/>
      <c r="CI775" s="21"/>
      <c r="CJ775" s="21"/>
    </row>
    <row r="776" spans="60:88" x14ac:dyDescent="0.25">
      <c r="BH776" s="21"/>
      <c r="BI776" s="21"/>
      <c r="BJ776" s="21"/>
      <c r="BK776" s="21"/>
      <c r="BL776" s="21"/>
      <c r="BM776" s="21"/>
      <c r="BN776" s="21"/>
      <c r="BO776" s="21"/>
      <c r="BQ776" s="21"/>
      <c r="BR776" s="21"/>
      <c r="BS776" s="21"/>
      <c r="BU776" s="21"/>
      <c r="BX776" s="21"/>
      <c r="CG776" s="21"/>
      <c r="CH776" s="21"/>
      <c r="CI776" s="21"/>
      <c r="CJ776" s="21"/>
    </row>
    <row r="777" spans="60:88" x14ac:dyDescent="0.25">
      <c r="BH777" s="21"/>
      <c r="BI777" s="21"/>
      <c r="BJ777" s="21"/>
      <c r="BK777" s="21"/>
      <c r="BL777" s="21"/>
      <c r="BM777" s="21"/>
      <c r="BN777" s="21"/>
      <c r="BO777" s="21"/>
      <c r="BQ777" s="21"/>
      <c r="BR777" s="21"/>
      <c r="BS777" s="21"/>
      <c r="BU777" s="21"/>
      <c r="BX777" s="21"/>
      <c r="CG777" s="21"/>
      <c r="CH777" s="21"/>
      <c r="CI777" s="21"/>
      <c r="CJ777" s="21"/>
    </row>
    <row r="778" spans="60:88" x14ac:dyDescent="0.25">
      <c r="BH778" s="21"/>
      <c r="BI778" s="21"/>
      <c r="BJ778" s="21"/>
      <c r="BK778" s="21"/>
      <c r="BL778" s="21"/>
      <c r="BM778" s="21"/>
      <c r="BN778" s="21"/>
      <c r="BO778" s="21"/>
      <c r="BQ778" s="21"/>
      <c r="BR778" s="21"/>
      <c r="BS778" s="21"/>
      <c r="BU778" s="21"/>
      <c r="BX778" s="21"/>
      <c r="CG778" s="21"/>
      <c r="CH778" s="21"/>
      <c r="CI778" s="21"/>
      <c r="CJ778" s="21"/>
    </row>
    <row r="779" spans="60:88" x14ac:dyDescent="0.25">
      <c r="BH779" s="21"/>
      <c r="BI779" s="21"/>
      <c r="BJ779" s="21"/>
      <c r="BK779" s="21"/>
      <c r="BL779" s="21"/>
      <c r="BM779" s="21"/>
      <c r="BN779" s="21"/>
      <c r="BO779" s="21"/>
      <c r="BQ779" s="21"/>
      <c r="BR779" s="21"/>
      <c r="BS779" s="21"/>
      <c r="BU779" s="21"/>
      <c r="BX779" s="21"/>
      <c r="CG779" s="21"/>
      <c r="CH779" s="21"/>
      <c r="CI779" s="21"/>
      <c r="CJ779" s="21"/>
    </row>
    <row r="780" spans="60:88" x14ac:dyDescent="0.25">
      <c r="BH780" s="21"/>
      <c r="BI780" s="21"/>
      <c r="BJ780" s="21"/>
      <c r="BK780" s="21"/>
      <c r="BL780" s="21"/>
      <c r="BM780" s="21"/>
      <c r="BN780" s="21"/>
      <c r="BO780" s="21"/>
      <c r="BQ780" s="21"/>
      <c r="BR780" s="21"/>
      <c r="BS780" s="21"/>
      <c r="BU780" s="21"/>
      <c r="BX780" s="21"/>
      <c r="CG780" s="21"/>
      <c r="CH780" s="21"/>
      <c r="CI780" s="21"/>
      <c r="CJ780" s="21"/>
    </row>
    <row r="781" spans="60:88" x14ac:dyDescent="0.25">
      <c r="BH781" s="21"/>
      <c r="BI781" s="21"/>
      <c r="BJ781" s="21"/>
      <c r="BK781" s="21"/>
      <c r="BL781" s="21"/>
      <c r="BM781" s="21"/>
      <c r="BN781" s="21"/>
      <c r="BO781" s="21"/>
      <c r="BQ781" s="21"/>
      <c r="BR781" s="21"/>
      <c r="BS781" s="21"/>
      <c r="BU781" s="21"/>
      <c r="BX781" s="21"/>
      <c r="CG781" s="21"/>
      <c r="CH781" s="21"/>
      <c r="CI781" s="21"/>
      <c r="CJ781" s="21"/>
    </row>
    <row r="782" spans="60:88" x14ac:dyDescent="0.25">
      <c r="BH782" s="21"/>
      <c r="BI782" s="21"/>
      <c r="BJ782" s="21"/>
      <c r="BK782" s="21"/>
      <c r="BL782" s="21"/>
      <c r="BM782" s="21"/>
      <c r="BN782" s="21"/>
      <c r="BO782" s="21"/>
      <c r="BQ782" s="21"/>
      <c r="BR782" s="21"/>
      <c r="BS782" s="21"/>
      <c r="BU782" s="21"/>
      <c r="BX782" s="21"/>
      <c r="CG782" s="21"/>
      <c r="CH782" s="21"/>
      <c r="CI782" s="21"/>
      <c r="CJ782" s="21"/>
    </row>
    <row r="783" spans="60:88" x14ac:dyDescent="0.25">
      <c r="BH783" s="21"/>
      <c r="BI783" s="21"/>
      <c r="BJ783" s="21"/>
      <c r="BK783" s="21"/>
      <c r="BL783" s="21"/>
      <c r="BM783" s="21"/>
      <c r="BN783" s="21"/>
      <c r="BO783" s="21"/>
      <c r="BQ783" s="21"/>
      <c r="BR783" s="21"/>
      <c r="BS783" s="21"/>
      <c r="BU783" s="21"/>
      <c r="BX783" s="21"/>
      <c r="CG783" s="21"/>
      <c r="CH783" s="21"/>
      <c r="CI783" s="21"/>
      <c r="CJ783" s="21"/>
    </row>
    <row r="784" spans="60:88" x14ac:dyDescent="0.25">
      <c r="BH784" s="21"/>
      <c r="BI784" s="21"/>
      <c r="BJ784" s="21"/>
      <c r="BK784" s="21"/>
      <c r="BL784" s="21"/>
      <c r="BM784" s="21"/>
      <c r="BN784" s="21"/>
      <c r="BO784" s="21"/>
      <c r="BQ784" s="21"/>
      <c r="BR784" s="21"/>
      <c r="BS784" s="21"/>
      <c r="BU784" s="21"/>
      <c r="BX784" s="21"/>
      <c r="CG784" s="21"/>
      <c r="CH784" s="21"/>
      <c r="CI784" s="21"/>
      <c r="CJ784" s="21"/>
    </row>
    <row r="785" spans="60:88" x14ac:dyDescent="0.25">
      <c r="BH785" s="21"/>
      <c r="BI785" s="21"/>
      <c r="BJ785" s="21"/>
      <c r="BK785" s="21"/>
      <c r="BL785" s="21"/>
      <c r="BM785" s="21"/>
      <c r="BN785" s="21"/>
      <c r="BO785" s="21"/>
      <c r="BQ785" s="21"/>
      <c r="BR785" s="21"/>
      <c r="BS785" s="21"/>
      <c r="BU785" s="21"/>
      <c r="BX785" s="21"/>
      <c r="CG785" s="21"/>
      <c r="CH785" s="21"/>
      <c r="CI785" s="21"/>
      <c r="CJ785" s="21"/>
    </row>
    <row r="786" spans="60:88" x14ac:dyDescent="0.25">
      <c r="BH786" s="21"/>
      <c r="BI786" s="21"/>
      <c r="BJ786" s="21"/>
      <c r="BK786" s="21"/>
      <c r="BL786" s="21"/>
      <c r="BM786" s="21"/>
      <c r="BN786" s="21"/>
      <c r="BO786" s="21"/>
      <c r="BQ786" s="21"/>
      <c r="BR786" s="21"/>
      <c r="BS786" s="21"/>
      <c r="BU786" s="21"/>
      <c r="BX786" s="21"/>
      <c r="CG786" s="21"/>
      <c r="CH786" s="21"/>
      <c r="CI786" s="21"/>
      <c r="CJ786" s="21"/>
    </row>
    <row r="787" spans="60:88" x14ac:dyDescent="0.25">
      <c r="BH787" s="21"/>
      <c r="BI787" s="21"/>
      <c r="BJ787" s="21"/>
      <c r="BK787" s="21"/>
      <c r="BL787" s="21"/>
      <c r="BM787" s="21"/>
      <c r="BN787" s="21"/>
      <c r="BO787" s="21"/>
      <c r="BQ787" s="21"/>
      <c r="BR787" s="21"/>
      <c r="BS787" s="21"/>
      <c r="BU787" s="21"/>
      <c r="BX787" s="21"/>
      <c r="CG787" s="21"/>
      <c r="CH787" s="21"/>
      <c r="CI787" s="21"/>
      <c r="CJ787" s="21"/>
    </row>
    <row r="788" spans="60:88" x14ac:dyDescent="0.25">
      <c r="BH788" s="21"/>
      <c r="BI788" s="21"/>
      <c r="BJ788" s="21"/>
      <c r="BK788" s="21"/>
      <c r="BL788" s="21"/>
      <c r="BM788" s="21"/>
      <c r="BN788" s="21"/>
      <c r="BO788" s="21"/>
      <c r="BQ788" s="21"/>
      <c r="BR788" s="21"/>
      <c r="BS788" s="21"/>
      <c r="BU788" s="21"/>
      <c r="BX788" s="21"/>
      <c r="CG788" s="21"/>
      <c r="CH788" s="21"/>
      <c r="CI788" s="21"/>
      <c r="CJ788" s="21"/>
    </row>
    <row r="789" spans="60:88" x14ac:dyDescent="0.25">
      <c r="BH789" s="21"/>
      <c r="BI789" s="21"/>
      <c r="BJ789" s="21"/>
      <c r="BK789" s="21"/>
      <c r="BL789" s="21"/>
      <c r="BM789" s="21"/>
      <c r="BN789" s="21"/>
      <c r="BO789" s="21"/>
      <c r="BQ789" s="21"/>
      <c r="BR789" s="21"/>
      <c r="BS789" s="21"/>
      <c r="BU789" s="21"/>
      <c r="BX789" s="21"/>
      <c r="CG789" s="21"/>
      <c r="CH789" s="21"/>
      <c r="CI789" s="21"/>
      <c r="CJ789" s="21"/>
    </row>
    <row r="790" spans="60:88" x14ac:dyDescent="0.25">
      <c r="BH790" s="21"/>
      <c r="BI790" s="21"/>
      <c r="BJ790" s="21"/>
      <c r="BK790" s="21"/>
      <c r="BL790" s="21"/>
      <c r="BM790" s="21"/>
      <c r="BN790" s="21"/>
      <c r="BO790" s="21"/>
      <c r="BQ790" s="21"/>
      <c r="BR790" s="21"/>
      <c r="BS790" s="21"/>
      <c r="BU790" s="21"/>
      <c r="BX790" s="21"/>
      <c r="CG790" s="21"/>
      <c r="CH790" s="21"/>
      <c r="CI790" s="21"/>
      <c r="CJ790" s="21"/>
    </row>
    <row r="791" spans="60:88" x14ac:dyDescent="0.25">
      <c r="BH791" s="21"/>
      <c r="BI791" s="21"/>
      <c r="BJ791" s="21"/>
      <c r="BK791" s="21"/>
      <c r="BL791" s="21"/>
      <c r="BM791" s="21"/>
      <c r="BN791" s="21"/>
      <c r="BO791" s="21"/>
      <c r="BQ791" s="21"/>
      <c r="BR791" s="21"/>
      <c r="BS791" s="21"/>
      <c r="BU791" s="21"/>
      <c r="BX791" s="21"/>
      <c r="CG791" s="21"/>
      <c r="CH791" s="21"/>
      <c r="CI791" s="21"/>
      <c r="CJ791" s="21"/>
    </row>
    <row r="792" spans="60:88" x14ac:dyDescent="0.25">
      <c r="BH792" s="21"/>
      <c r="BI792" s="21"/>
      <c r="BJ792" s="21"/>
      <c r="BK792" s="21"/>
      <c r="BL792" s="21"/>
      <c r="BM792" s="21"/>
      <c r="BN792" s="21"/>
      <c r="BO792" s="21"/>
      <c r="BQ792" s="21"/>
      <c r="BR792" s="21"/>
      <c r="BS792" s="21"/>
      <c r="BU792" s="21"/>
      <c r="BX792" s="21"/>
      <c r="CG792" s="21"/>
      <c r="CH792" s="21"/>
      <c r="CI792" s="21"/>
      <c r="CJ792" s="21"/>
    </row>
    <row r="793" spans="60:88" x14ac:dyDescent="0.25">
      <c r="BH793" s="21"/>
      <c r="BI793" s="21"/>
      <c r="BJ793" s="21"/>
      <c r="BK793" s="21"/>
      <c r="BL793" s="21"/>
      <c r="BM793" s="21"/>
      <c r="BN793" s="21"/>
      <c r="BO793" s="21"/>
      <c r="BQ793" s="21"/>
      <c r="BR793" s="21"/>
      <c r="BS793" s="21"/>
      <c r="BU793" s="21"/>
      <c r="BX793" s="21"/>
      <c r="CG793" s="21"/>
      <c r="CH793" s="21"/>
      <c r="CI793" s="21"/>
      <c r="CJ793" s="21"/>
    </row>
    <row r="794" spans="60:88" x14ac:dyDescent="0.25">
      <c r="BH794" s="21"/>
      <c r="BI794" s="21"/>
      <c r="BJ794" s="21"/>
      <c r="BK794" s="21"/>
      <c r="BL794" s="21"/>
      <c r="BM794" s="21"/>
      <c r="BN794" s="21"/>
      <c r="BO794" s="21"/>
      <c r="BQ794" s="21"/>
      <c r="BR794" s="21"/>
      <c r="BS794" s="21"/>
      <c r="BU794" s="21"/>
      <c r="BX794" s="21"/>
      <c r="CG794" s="21"/>
      <c r="CH794" s="21"/>
      <c r="CI794" s="21"/>
      <c r="CJ794" s="21"/>
    </row>
    <row r="795" spans="60:88" x14ac:dyDescent="0.25">
      <c r="BH795" s="21"/>
      <c r="BI795" s="21"/>
      <c r="BJ795" s="21"/>
      <c r="BK795" s="21"/>
      <c r="BL795" s="21"/>
      <c r="BM795" s="21"/>
      <c r="BN795" s="21"/>
      <c r="BO795" s="21"/>
      <c r="BQ795" s="21"/>
      <c r="BR795" s="21"/>
      <c r="BS795" s="21"/>
      <c r="BU795" s="21"/>
      <c r="BX795" s="21"/>
      <c r="CG795" s="21"/>
      <c r="CH795" s="21"/>
      <c r="CI795" s="21"/>
      <c r="CJ795" s="21"/>
    </row>
    <row r="796" spans="60:88" x14ac:dyDescent="0.25">
      <c r="BH796" s="21"/>
      <c r="BI796" s="21"/>
      <c r="BJ796" s="21"/>
      <c r="BK796" s="21"/>
      <c r="BL796" s="21"/>
      <c r="BM796" s="21"/>
      <c r="BN796" s="21"/>
      <c r="BO796" s="21"/>
      <c r="BQ796" s="21"/>
      <c r="BR796" s="21"/>
      <c r="BS796" s="21"/>
      <c r="BU796" s="21"/>
      <c r="BX796" s="21"/>
      <c r="CG796" s="21"/>
      <c r="CH796" s="21"/>
      <c r="CI796" s="21"/>
      <c r="CJ796" s="21"/>
    </row>
    <row r="797" spans="60:88" x14ac:dyDescent="0.25">
      <c r="BH797" s="21"/>
      <c r="BI797" s="21"/>
      <c r="BJ797" s="21"/>
      <c r="BK797" s="21"/>
      <c r="BL797" s="21"/>
      <c r="BM797" s="21"/>
      <c r="BN797" s="21"/>
      <c r="BO797" s="21"/>
      <c r="BQ797" s="21"/>
      <c r="BR797" s="21"/>
      <c r="BS797" s="21"/>
      <c r="BU797" s="21"/>
      <c r="BX797" s="21"/>
      <c r="CG797" s="21"/>
      <c r="CH797" s="21"/>
      <c r="CI797" s="21"/>
      <c r="CJ797" s="21"/>
    </row>
    <row r="798" spans="60:88" x14ac:dyDescent="0.25">
      <c r="BH798" s="21"/>
      <c r="BI798" s="21"/>
      <c r="BJ798" s="21"/>
      <c r="BK798" s="21"/>
      <c r="BL798" s="21"/>
      <c r="BM798" s="21"/>
      <c r="BN798" s="21"/>
      <c r="BO798" s="21"/>
      <c r="BQ798" s="21"/>
      <c r="BR798" s="21"/>
      <c r="BS798" s="21"/>
      <c r="BU798" s="21"/>
      <c r="BX798" s="21"/>
      <c r="CG798" s="21"/>
      <c r="CH798" s="21"/>
      <c r="CI798" s="21"/>
      <c r="CJ798" s="21"/>
    </row>
    <row r="799" spans="60:88" x14ac:dyDescent="0.25">
      <c r="BH799" s="21"/>
      <c r="BI799" s="21"/>
      <c r="BJ799" s="21"/>
      <c r="BK799" s="21"/>
      <c r="BL799" s="21"/>
      <c r="BM799" s="21"/>
      <c r="BN799" s="21"/>
      <c r="BO799" s="21"/>
      <c r="BQ799" s="21"/>
      <c r="BR799" s="21"/>
      <c r="BS799" s="21"/>
      <c r="BU799" s="21"/>
      <c r="BX799" s="21"/>
      <c r="CG799" s="21"/>
      <c r="CH799" s="21"/>
      <c r="CI799" s="21"/>
      <c r="CJ799" s="21"/>
    </row>
    <row r="800" spans="60:88" x14ac:dyDescent="0.25">
      <c r="BH800" s="21"/>
      <c r="BI800" s="21"/>
      <c r="BJ800" s="21"/>
      <c r="BK800" s="21"/>
      <c r="BL800" s="21"/>
      <c r="BM800" s="21"/>
      <c r="BN800" s="21"/>
      <c r="BO800" s="21"/>
      <c r="BQ800" s="21"/>
      <c r="BR800" s="21"/>
      <c r="BS800" s="21"/>
      <c r="BU800" s="21"/>
      <c r="BX800" s="21"/>
      <c r="CG800" s="21"/>
      <c r="CH800" s="21"/>
      <c r="CI800" s="21"/>
      <c r="CJ800" s="21"/>
    </row>
    <row r="801" spans="60:88" x14ac:dyDescent="0.25">
      <c r="BH801" s="21"/>
      <c r="BI801" s="21"/>
      <c r="BJ801" s="21"/>
      <c r="BK801" s="21"/>
      <c r="BL801" s="21"/>
      <c r="BM801" s="21"/>
      <c r="BN801" s="21"/>
      <c r="BO801" s="21"/>
      <c r="BQ801" s="21"/>
      <c r="BR801" s="21"/>
      <c r="BS801" s="21"/>
      <c r="BU801" s="21"/>
      <c r="BX801" s="21"/>
      <c r="CG801" s="21"/>
      <c r="CH801" s="21"/>
      <c r="CI801" s="21"/>
      <c r="CJ801" s="21"/>
    </row>
    <row r="802" spans="60:88" x14ac:dyDescent="0.25">
      <c r="BH802" s="21"/>
      <c r="BI802" s="21"/>
      <c r="BJ802" s="21"/>
      <c r="BK802" s="21"/>
      <c r="BL802" s="21"/>
      <c r="BM802" s="21"/>
      <c r="BN802" s="21"/>
      <c r="BO802" s="21"/>
      <c r="BQ802" s="21"/>
      <c r="BR802" s="21"/>
      <c r="BS802" s="21"/>
      <c r="BU802" s="21"/>
      <c r="BX802" s="21"/>
      <c r="CG802" s="21"/>
      <c r="CH802" s="21"/>
      <c r="CI802" s="21"/>
      <c r="CJ802" s="21"/>
    </row>
    <row r="803" spans="60:88" x14ac:dyDescent="0.25">
      <c r="BH803" s="21"/>
      <c r="BI803" s="21"/>
      <c r="BJ803" s="21"/>
      <c r="BK803" s="21"/>
      <c r="BL803" s="21"/>
      <c r="BM803" s="21"/>
      <c r="BN803" s="21"/>
      <c r="BO803" s="21"/>
      <c r="BQ803" s="21"/>
      <c r="BR803" s="21"/>
      <c r="BS803" s="21"/>
      <c r="BU803" s="21"/>
      <c r="BX803" s="21"/>
      <c r="CG803" s="21"/>
      <c r="CH803" s="21"/>
      <c r="CI803" s="21"/>
      <c r="CJ803" s="21"/>
    </row>
    <row r="804" spans="60:88" x14ac:dyDescent="0.25">
      <c r="BH804" s="21"/>
      <c r="BI804" s="21"/>
      <c r="BJ804" s="21"/>
      <c r="BK804" s="21"/>
      <c r="BL804" s="21"/>
      <c r="BM804" s="21"/>
      <c r="BN804" s="21"/>
      <c r="BO804" s="21"/>
      <c r="BQ804" s="21"/>
      <c r="BR804" s="21"/>
      <c r="BS804" s="21"/>
      <c r="BU804" s="21"/>
      <c r="BX804" s="21"/>
      <c r="CG804" s="21"/>
      <c r="CH804" s="21"/>
      <c r="CI804" s="21"/>
      <c r="CJ804" s="21"/>
    </row>
    <row r="805" spans="60:88" x14ac:dyDescent="0.25">
      <c r="BH805" s="21"/>
      <c r="BI805" s="21"/>
      <c r="BJ805" s="21"/>
      <c r="BK805" s="21"/>
      <c r="BL805" s="21"/>
      <c r="BM805" s="21"/>
      <c r="BN805" s="21"/>
      <c r="BO805" s="21"/>
      <c r="BQ805" s="21"/>
      <c r="BR805" s="21"/>
      <c r="BS805" s="21"/>
      <c r="BU805" s="21"/>
      <c r="BX805" s="21"/>
      <c r="CG805" s="21"/>
      <c r="CH805" s="21"/>
      <c r="CI805" s="21"/>
      <c r="CJ805" s="21"/>
    </row>
    <row r="806" spans="60:88" x14ac:dyDescent="0.25">
      <c r="BH806" s="21"/>
      <c r="BI806" s="21"/>
      <c r="BJ806" s="21"/>
      <c r="BK806" s="21"/>
      <c r="BL806" s="21"/>
      <c r="BM806" s="21"/>
      <c r="BN806" s="21"/>
      <c r="BO806" s="21"/>
      <c r="BQ806" s="21"/>
      <c r="BR806" s="21"/>
      <c r="BS806" s="21"/>
      <c r="BU806" s="21"/>
      <c r="BX806" s="21"/>
      <c r="CG806" s="21"/>
      <c r="CH806" s="21"/>
      <c r="CI806" s="21"/>
      <c r="CJ806" s="21"/>
    </row>
    <row r="807" spans="60:88" x14ac:dyDescent="0.25">
      <c r="BH807" s="21"/>
      <c r="BI807" s="21"/>
      <c r="BJ807" s="21"/>
      <c r="BK807" s="21"/>
      <c r="BL807" s="21"/>
      <c r="BM807" s="21"/>
      <c r="BN807" s="21"/>
      <c r="BO807" s="21"/>
      <c r="BQ807" s="21"/>
      <c r="BR807" s="21"/>
      <c r="BS807" s="21"/>
      <c r="BU807" s="21"/>
      <c r="BX807" s="21"/>
      <c r="CG807" s="21"/>
      <c r="CH807" s="21"/>
      <c r="CI807" s="21"/>
      <c r="CJ807" s="21"/>
    </row>
    <row r="808" spans="60:88" x14ac:dyDescent="0.25">
      <c r="BH808" s="21"/>
      <c r="BI808" s="21"/>
      <c r="BJ808" s="21"/>
      <c r="BK808" s="21"/>
      <c r="BL808" s="21"/>
      <c r="BM808" s="21"/>
      <c r="BN808" s="21"/>
      <c r="BO808" s="21"/>
      <c r="BQ808" s="21"/>
      <c r="BR808" s="21"/>
      <c r="BS808" s="21"/>
      <c r="BU808" s="21"/>
      <c r="BX808" s="21"/>
      <c r="CG808" s="21"/>
      <c r="CH808" s="21"/>
      <c r="CI808" s="21"/>
      <c r="CJ808" s="21"/>
    </row>
    <row r="809" spans="60:88" x14ac:dyDescent="0.25">
      <c r="BH809" s="21"/>
      <c r="BI809" s="21"/>
      <c r="BJ809" s="21"/>
      <c r="BK809" s="21"/>
      <c r="BL809" s="21"/>
      <c r="BM809" s="21"/>
      <c r="BN809" s="21"/>
      <c r="BO809" s="21"/>
      <c r="BQ809" s="21"/>
      <c r="BR809" s="21"/>
      <c r="BS809" s="21"/>
      <c r="BU809" s="21"/>
      <c r="BX809" s="21"/>
      <c r="CG809" s="21"/>
      <c r="CH809" s="21"/>
      <c r="CI809" s="21"/>
      <c r="CJ809" s="21"/>
    </row>
    <row r="810" spans="60:88" x14ac:dyDescent="0.25">
      <c r="BH810" s="21"/>
      <c r="BI810" s="21"/>
      <c r="BJ810" s="21"/>
      <c r="BK810" s="21"/>
      <c r="BL810" s="21"/>
      <c r="BM810" s="21"/>
      <c r="BN810" s="21"/>
      <c r="BO810" s="21"/>
      <c r="BQ810" s="21"/>
      <c r="BR810" s="21"/>
      <c r="BS810" s="21"/>
      <c r="BU810" s="21"/>
      <c r="BX810" s="21"/>
      <c r="CG810" s="21"/>
      <c r="CH810" s="21"/>
      <c r="CI810" s="21"/>
      <c r="CJ810" s="21"/>
    </row>
    <row r="811" spans="60:88" x14ac:dyDescent="0.25">
      <c r="BH811" s="21"/>
      <c r="BI811" s="21"/>
      <c r="BJ811" s="21"/>
      <c r="BK811" s="21"/>
      <c r="BL811" s="21"/>
      <c r="BM811" s="21"/>
      <c r="BN811" s="21"/>
      <c r="BO811" s="21"/>
      <c r="BQ811" s="21"/>
      <c r="BR811" s="21"/>
      <c r="BS811" s="21"/>
      <c r="BU811" s="21"/>
      <c r="BX811" s="21"/>
      <c r="CG811" s="21"/>
      <c r="CH811" s="21"/>
      <c r="CI811" s="21"/>
      <c r="CJ811" s="21"/>
    </row>
    <row r="812" spans="60:88" x14ac:dyDescent="0.25">
      <c r="BH812" s="21"/>
      <c r="BI812" s="21"/>
      <c r="BJ812" s="21"/>
      <c r="BK812" s="21"/>
      <c r="BL812" s="21"/>
      <c r="BM812" s="21"/>
      <c r="BN812" s="21"/>
      <c r="BO812" s="21"/>
      <c r="BQ812" s="21"/>
      <c r="BR812" s="21"/>
      <c r="BS812" s="21"/>
      <c r="BU812" s="21"/>
      <c r="BX812" s="21"/>
      <c r="CG812" s="21"/>
      <c r="CH812" s="21"/>
      <c r="CI812" s="21"/>
      <c r="CJ812" s="21"/>
    </row>
    <row r="813" spans="60:88" x14ac:dyDescent="0.25">
      <c r="BH813" s="21"/>
      <c r="BI813" s="21"/>
      <c r="BJ813" s="21"/>
      <c r="BK813" s="21"/>
      <c r="BL813" s="21"/>
      <c r="BM813" s="21"/>
      <c r="BN813" s="21"/>
      <c r="BO813" s="21"/>
      <c r="BQ813" s="21"/>
      <c r="BR813" s="21"/>
      <c r="BS813" s="21"/>
      <c r="BU813" s="21"/>
      <c r="BX813" s="21"/>
      <c r="CG813" s="21"/>
      <c r="CH813" s="21"/>
      <c r="CI813" s="21"/>
      <c r="CJ813" s="21"/>
    </row>
    <row r="814" spans="60:88" x14ac:dyDescent="0.25">
      <c r="BH814" s="21"/>
      <c r="BI814" s="21"/>
      <c r="BJ814" s="21"/>
      <c r="BK814" s="21"/>
      <c r="BL814" s="21"/>
      <c r="BM814" s="21"/>
      <c r="BN814" s="21"/>
      <c r="BO814" s="21"/>
      <c r="BQ814" s="21"/>
      <c r="BR814" s="21"/>
      <c r="BS814" s="21"/>
      <c r="BU814" s="21"/>
      <c r="BX814" s="21"/>
      <c r="CG814" s="21"/>
      <c r="CH814" s="21"/>
      <c r="CI814" s="21"/>
      <c r="CJ814" s="21"/>
    </row>
    <row r="815" spans="60:88" x14ac:dyDescent="0.25">
      <c r="BH815" s="21"/>
      <c r="BI815" s="21"/>
      <c r="BJ815" s="21"/>
      <c r="BK815" s="21"/>
      <c r="BL815" s="21"/>
      <c r="BM815" s="21"/>
      <c r="BN815" s="21"/>
      <c r="BO815" s="21"/>
      <c r="BQ815" s="21"/>
      <c r="BR815" s="21"/>
      <c r="BS815" s="21"/>
      <c r="BU815" s="21"/>
      <c r="BX815" s="21"/>
      <c r="CG815" s="21"/>
      <c r="CH815" s="21"/>
      <c r="CI815" s="21"/>
      <c r="CJ815" s="21"/>
    </row>
    <row r="816" spans="60:88" x14ac:dyDescent="0.25">
      <c r="BH816" s="21"/>
      <c r="BI816" s="21"/>
      <c r="BJ816" s="21"/>
      <c r="BK816" s="21"/>
      <c r="BL816" s="21"/>
      <c r="BM816" s="21"/>
      <c r="BN816" s="21"/>
      <c r="BO816" s="21"/>
      <c r="BQ816" s="21"/>
      <c r="BR816" s="21"/>
      <c r="BS816" s="21"/>
      <c r="BU816" s="21"/>
      <c r="BX816" s="21"/>
      <c r="CG816" s="21"/>
      <c r="CH816" s="21"/>
      <c r="CI816" s="21"/>
      <c r="CJ816" s="21"/>
    </row>
    <row r="817" spans="60:88" x14ac:dyDescent="0.25">
      <c r="BH817" s="21"/>
      <c r="BI817" s="21"/>
      <c r="BJ817" s="21"/>
      <c r="BK817" s="21"/>
      <c r="BL817" s="21"/>
      <c r="BM817" s="21"/>
      <c r="BN817" s="21"/>
      <c r="BO817" s="21"/>
      <c r="BQ817" s="21"/>
      <c r="BR817" s="21"/>
      <c r="BS817" s="21"/>
      <c r="BU817" s="21"/>
      <c r="BX817" s="21"/>
      <c r="CG817" s="21"/>
      <c r="CH817" s="21"/>
      <c r="CI817" s="21"/>
      <c r="CJ817" s="21"/>
    </row>
    <row r="818" spans="60:88" x14ac:dyDescent="0.25">
      <c r="BH818" s="21"/>
      <c r="BI818" s="21"/>
      <c r="BJ818" s="21"/>
      <c r="BK818" s="21"/>
      <c r="BL818" s="21"/>
      <c r="BM818" s="21"/>
      <c r="BN818" s="21"/>
      <c r="BO818" s="21"/>
      <c r="BQ818" s="21"/>
      <c r="BR818" s="21"/>
      <c r="BS818" s="21"/>
      <c r="BU818" s="21"/>
      <c r="BX818" s="21"/>
      <c r="CG818" s="21"/>
      <c r="CH818" s="21"/>
      <c r="CI818" s="21"/>
      <c r="CJ818" s="21"/>
    </row>
    <row r="819" spans="60:88" x14ac:dyDescent="0.25">
      <c r="BH819" s="21"/>
      <c r="BI819" s="21"/>
      <c r="BJ819" s="21"/>
      <c r="BK819" s="21"/>
      <c r="BL819" s="21"/>
      <c r="BM819" s="21"/>
      <c r="BN819" s="21"/>
      <c r="BO819" s="21"/>
      <c r="BQ819" s="21"/>
      <c r="BR819" s="21"/>
      <c r="BS819" s="21"/>
      <c r="BU819" s="21"/>
      <c r="BX819" s="21"/>
      <c r="CG819" s="21"/>
      <c r="CH819" s="21"/>
      <c r="CI819" s="21"/>
      <c r="CJ819" s="21"/>
    </row>
    <row r="820" spans="60:88" x14ac:dyDescent="0.25">
      <c r="BH820" s="21"/>
      <c r="BI820" s="21"/>
      <c r="BJ820" s="21"/>
      <c r="BK820" s="21"/>
      <c r="BL820" s="21"/>
      <c r="BM820" s="21"/>
      <c r="BN820" s="21"/>
      <c r="BO820" s="21"/>
      <c r="BQ820" s="21"/>
      <c r="BR820" s="21"/>
      <c r="BS820" s="21"/>
      <c r="BU820" s="21"/>
      <c r="BX820" s="21"/>
      <c r="CG820" s="21"/>
      <c r="CH820" s="21"/>
      <c r="CI820" s="21"/>
      <c r="CJ820" s="21"/>
    </row>
    <row r="821" spans="60:88" x14ac:dyDescent="0.25">
      <c r="BH821" s="21"/>
      <c r="BI821" s="21"/>
      <c r="BJ821" s="21"/>
      <c r="BK821" s="21"/>
      <c r="BL821" s="21"/>
      <c r="BM821" s="21"/>
      <c r="BN821" s="21"/>
      <c r="BO821" s="21"/>
      <c r="BQ821" s="21"/>
      <c r="BR821" s="21"/>
      <c r="BS821" s="21"/>
      <c r="BU821" s="21"/>
      <c r="BX821" s="21"/>
      <c r="CG821" s="21"/>
      <c r="CH821" s="21"/>
      <c r="CI821" s="21"/>
      <c r="CJ821" s="21"/>
    </row>
    <row r="822" spans="60:88" x14ac:dyDescent="0.25">
      <c r="BH822" s="21"/>
      <c r="BI822" s="21"/>
      <c r="BJ822" s="21"/>
      <c r="BK822" s="21"/>
      <c r="BL822" s="21"/>
      <c r="BM822" s="21"/>
      <c r="BN822" s="21"/>
      <c r="BO822" s="21"/>
      <c r="BQ822" s="21"/>
      <c r="BR822" s="21"/>
      <c r="BS822" s="21"/>
      <c r="BU822" s="21"/>
      <c r="BX822" s="21"/>
      <c r="CG822" s="21"/>
      <c r="CH822" s="21"/>
      <c r="CI822" s="21"/>
      <c r="CJ822" s="21"/>
    </row>
    <row r="823" spans="60:88" x14ac:dyDescent="0.25">
      <c r="BH823" s="21"/>
      <c r="BI823" s="21"/>
      <c r="BJ823" s="21"/>
      <c r="BK823" s="21"/>
      <c r="BL823" s="21"/>
      <c r="BM823" s="21"/>
      <c r="BN823" s="21"/>
      <c r="BO823" s="21"/>
      <c r="BQ823" s="21"/>
      <c r="BR823" s="21"/>
      <c r="BS823" s="21"/>
      <c r="BU823" s="21"/>
      <c r="BX823" s="21"/>
      <c r="CG823" s="21"/>
      <c r="CH823" s="21"/>
      <c r="CI823" s="21"/>
      <c r="CJ823" s="21"/>
    </row>
    <row r="824" spans="60:88" x14ac:dyDescent="0.25">
      <c r="BH824" s="21"/>
      <c r="BI824" s="21"/>
      <c r="BJ824" s="21"/>
      <c r="BK824" s="21"/>
      <c r="BL824" s="21"/>
      <c r="BM824" s="21"/>
      <c r="BN824" s="21"/>
      <c r="BO824" s="21"/>
      <c r="BQ824" s="21"/>
      <c r="BR824" s="21"/>
      <c r="BS824" s="21"/>
      <c r="BU824" s="21"/>
      <c r="BX824" s="21"/>
      <c r="CG824" s="21"/>
      <c r="CH824" s="21"/>
      <c r="CI824" s="21"/>
      <c r="CJ824" s="21"/>
    </row>
    <row r="825" spans="60:88" x14ac:dyDescent="0.25">
      <c r="BH825" s="21"/>
      <c r="BI825" s="21"/>
      <c r="BJ825" s="21"/>
      <c r="BK825" s="21"/>
      <c r="BL825" s="21"/>
      <c r="BM825" s="21"/>
      <c r="BN825" s="21"/>
      <c r="BO825" s="21"/>
      <c r="BQ825" s="21"/>
      <c r="BR825" s="21"/>
      <c r="BS825" s="21"/>
      <c r="BU825" s="21"/>
      <c r="BX825" s="21"/>
      <c r="CG825" s="21"/>
      <c r="CH825" s="21"/>
      <c r="CI825" s="21"/>
      <c r="CJ825" s="21"/>
    </row>
    <row r="826" spans="60:88" x14ac:dyDescent="0.25">
      <c r="BH826" s="21"/>
      <c r="BI826" s="21"/>
      <c r="BJ826" s="21"/>
      <c r="BK826" s="21"/>
      <c r="BL826" s="21"/>
      <c r="BM826" s="21"/>
      <c r="BN826" s="21"/>
      <c r="BO826" s="21"/>
      <c r="BQ826" s="21"/>
      <c r="BR826" s="21"/>
      <c r="BS826" s="21"/>
      <c r="BU826" s="21"/>
      <c r="BX826" s="21"/>
      <c r="CG826" s="21"/>
      <c r="CH826" s="21"/>
      <c r="CI826" s="21"/>
      <c r="CJ826" s="21"/>
    </row>
    <row r="827" spans="60:88" x14ac:dyDescent="0.25">
      <c r="BH827" s="21"/>
      <c r="BI827" s="21"/>
      <c r="BJ827" s="21"/>
      <c r="BK827" s="21"/>
      <c r="BL827" s="21"/>
      <c r="BM827" s="21"/>
      <c r="BN827" s="21"/>
      <c r="BO827" s="21"/>
      <c r="BQ827" s="21"/>
      <c r="BR827" s="21"/>
      <c r="BS827" s="21"/>
      <c r="BU827" s="21"/>
      <c r="BX827" s="21"/>
      <c r="CG827" s="21"/>
      <c r="CH827" s="21"/>
      <c r="CI827" s="21"/>
      <c r="CJ827" s="21"/>
    </row>
    <row r="828" spans="60:88" x14ac:dyDescent="0.25">
      <c r="BH828" s="21"/>
      <c r="BI828" s="21"/>
      <c r="BJ828" s="21"/>
      <c r="BK828" s="21"/>
      <c r="BL828" s="21"/>
      <c r="BM828" s="21"/>
      <c r="BN828" s="21"/>
      <c r="BO828" s="21"/>
      <c r="BQ828" s="21"/>
      <c r="BR828" s="21"/>
      <c r="BS828" s="21"/>
      <c r="BU828" s="21"/>
      <c r="BX828" s="21"/>
      <c r="CG828" s="21"/>
      <c r="CH828" s="21"/>
      <c r="CI828" s="21"/>
      <c r="CJ828" s="21"/>
    </row>
    <row r="829" spans="60:88" x14ac:dyDescent="0.25">
      <c r="BH829" s="21"/>
      <c r="BI829" s="21"/>
      <c r="BJ829" s="21"/>
      <c r="BK829" s="21"/>
      <c r="BL829" s="21"/>
      <c r="BM829" s="21"/>
      <c r="BN829" s="21"/>
      <c r="BO829" s="21"/>
      <c r="BQ829" s="21"/>
      <c r="BR829" s="21"/>
      <c r="BS829" s="21"/>
      <c r="BU829" s="21"/>
      <c r="BX829" s="21"/>
      <c r="CG829" s="21"/>
      <c r="CH829" s="21"/>
      <c r="CI829" s="21"/>
      <c r="CJ829" s="21"/>
    </row>
    <row r="830" spans="60:88" x14ac:dyDescent="0.25">
      <c r="BH830" s="21"/>
      <c r="BI830" s="21"/>
      <c r="BJ830" s="21"/>
      <c r="BK830" s="21"/>
      <c r="BL830" s="21"/>
      <c r="BM830" s="21"/>
      <c r="BN830" s="21"/>
      <c r="BO830" s="21"/>
      <c r="BQ830" s="21"/>
      <c r="BR830" s="21"/>
      <c r="BS830" s="21"/>
      <c r="BU830" s="21"/>
      <c r="BX830" s="21"/>
      <c r="CG830" s="21"/>
      <c r="CH830" s="21"/>
      <c r="CI830" s="21"/>
      <c r="CJ830" s="21"/>
    </row>
    <row r="831" spans="60:88" x14ac:dyDescent="0.25">
      <c r="BH831" s="21"/>
      <c r="BI831" s="21"/>
      <c r="BJ831" s="21"/>
      <c r="BK831" s="21"/>
      <c r="BL831" s="21"/>
      <c r="BM831" s="21"/>
      <c r="BN831" s="21"/>
      <c r="BO831" s="21"/>
      <c r="BQ831" s="21"/>
      <c r="BR831" s="21"/>
      <c r="BS831" s="21"/>
      <c r="BU831" s="21"/>
      <c r="BX831" s="21"/>
      <c r="CG831" s="21"/>
      <c r="CH831" s="21"/>
      <c r="CI831" s="21"/>
      <c r="CJ831" s="21"/>
    </row>
    <row r="832" spans="60:88" x14ac:dyDescent="0.25">
      <c r="BH832" s="21"/>
      <c r="BI832" s="21"/>
      <c r="BJ832" s="21"/>
      <c r="BK832" s="21"/>
      <c r="BL832" s="21"/>
      <c r="BM832" s="21"/>
      <c r="BN832" s="21"/>
      <c r="BO832" s="21"/>
      <c r="BQ832" s="21"/>
      <c r="BR832" s="21"/>
      <c r="BS832" s="21"/>
      <c r="BU832" s="21"/>
      <c r="BX832" s="21"/>
      <c r="CG832" s="21"/>
      <c r="CH832" s="21"/>
      <c r="CI832" s="21"/>
      <c r="CJ832" s="21"/>
    </row>
    <row r="833" spans="60:88" x14ac:dyDescent="0.25">
      <c r="BH833" s="21"/>
      <c r="BI833" s="21"/>
      <c r="BJ833" s="21"/>
      <c r="BK833" s="21"/>
      <c r="BL833" s="21"/>
      <c r="BM833" s="21"/>
      <c r="BN833" s="21"/>
      <c r="BO833" s="21"/>
      <c r="BQ833" s="21"/>
      <c r="BR833" s="21"/>
      <c r="BS833" s="21"/>
      <c r="BU833" s="21"/>
      <c r="BX833" s="21"/>
      <c r="CG833" s="21"/>
      <c r="CH833" s="21"/>
      <c r="CI833" s="21"/>
      <c r="CJ833" s="21"/>
    </row>
    <row r="834" spans="60:88" x14ac:dyDescent="0.25">
      <c r="BH834" s="21"/>
      <c r="BI834" s="21"/>
      <c r="BJ834" s="21"/>
      <c r="BK834" s="21"/>
      <c r="BL834" s="21"/>
      <c r="BM834" s="21"/>
      <c r="BN834" s="21"/>
      <c r="BO834" s="21"/>
      <c r="BQ834" s="21"/>
      <c r="BR834" s="21"/>
      <c r="BS834" s="21"/>
      <c r="BU834" s="21"/>
      <c r="BX834" s="21"/>
      <c r="CG834" s="21"/>
      <c r="CH834" s="21"/>
      <c r="CI834" s="21"/>
      <c r="CJ834" s="21"/>
    </row>
    <row r="835" spans="60:88" x14ac:dyDescent="0.25">
      <c r="BH835" s="21"/>
      <c r="BI835" s="21"/>
      <c r="BJ835" s="21"/>
      <c r="BK835" s="21"/>
      <c r="BL835" s="21"/>
      <c r="BM835" s="21"/>
      <c r="BN835" s="21"/>
      <c r="BO835" s="21"/>
      <c r="BQ835" s="21"/>
      <c r="BR835" s="21"/>
      <c r="BS835" s="21"/>
      <c r="BU835" s="21"/>
      <c r="BX835" s="21"/>
      <c r="CG835" s="21"/>
      <c r="CH835" s="21"/>
      <c r="CI835" s="21"/>
      <c r="CJ835" s="21"/>
    </row>
    <row r="836" spans="60:88" x14ac:dyDescent="0.25">
      <c r="BH836" s="21"/>
      <c r="BI836" s="21"/>
      <c r="BJ836" s="21"/>
      <c r="BK836" s="21"/>
      <c r="BL836" s="21"/>
      <c r="BM836" s="21"/>
      <c r="BN836" s="21"/>
      <c r="BO836" s="21"/>
      <c r="BQ836" s="21"/>
      <c r="BR836" s="21"/>
      <c r="BS836" s="21"/>
      <c r="BU836" s="21"/>
      <c r="BX836" s="21"/>
      <c r="CG836" s="21"/>
      <c r="CH836" s="21"/>
      <c r="CI836" s="21"/>
      <c r="CJ836" s="21"/>
    </row>
    <row r="837" spans="60:88" x14ac:dyDescent="0.25">
      <c r="BH837" s="21"/>
      <c r="BI837" s="21"/>
      <c r="BJ837" s="21"/>
      <c r="BK837" s="21"/>
      <c r="BL837" s="21"/>
      <c r="BM837" s="21"/>
      <c r="BN837" s="21"/>
      <c r="BO837" s="21"/>
      <c r="BQ837" s="21"/>
      <c r="BR837" s="21"/>
      <c r="BS837" s="21"/>
      <c r="BU837" s="21"/>
      <c r="BX837" s="21"/>
      <c r="CG837" s="21"/>
      <c r="CH837" s="21"/>
      <c r="CI837" s="21"/>
      <c r="CJ837" s="21"/>
    </row>
    <row r="838" spans="60:88" x14ac:dyDescent="0.25">
      <c r="BH838" s="21"/>
      <c r="BI838" s="21"/>
      <c r="BJ838" s="21"/>
      <c r="BK838" s="21"/>
      <c r="BL838" s="21"/>
      <c r="BM838" s="21"/>
      <c r="BN838" s="21"/>
      <c r="BO838" s="21"/>
      <c r="BQ838" s="21"/>
      <c r="BR838" s="21"/>
      <c r="BS838" s="21"/>
      <c r="BU838" s="21"/>
      <c r="BX838" s="21"/>
      <c r="CG838" s="21"/>
      <c r="CH838" s="21"/>
      <c r="CI838" s="21"/>
      <c r="CJ838" s="21"/>
    </row>
    <row r="839" spans="60:88" x14ac:dyDescent="0.25">
      <c r="BH839" s="21"/>
      <c r="BI839" s="21"/>
      <c r="BJ839" s="21"/>
      <c r="BK839" s="21"/>
      <c r="BL839" s="21"/>
      <c r="BM839" s="21"/>
      <c r="BN839" s="21"/>
      <c r="BO839" s="21"/>
      <c r="BQ839" s="21"/>
      <c r="BR839" s="21"/>
      <c r="BS839" s="21"/>
      <c r="BU839" s="21"/>
      <c r="BX839" s="21"/>
      <c r="CG839" s="21"/>
      <c r="CH839" s="21"/>
      <c r="CI839" s="21"/>
      <c r="CJ839" s="21"/>
    </row>
    <row r="840" spans="60:88" x14ac:dyDescent="0.25">
      <c r="BH840" s="21"/>
      <c r="BI840" s="21"/>
      <c r="BJ840" s="21"/>
      <c r="BK840" s="21"/>
      <c r="BL840" s="21"/>
      <c r="BM840" s="21"/>
      <c r="BN840" s="21"/>
      <c r="BO840" s="21"/>
      <c r="BQ840" s="21"/>
      <c r="BR840" s="21"/>
      <c r="BS840" s="21"/>
      <c r="BU840" s="21"/>
      <c r="BX840" s="21"/>
      <c r="CG840" s="21"/>
      <c r="CH840" s="21"/>
      <c r="CI840" s="21"/>
      <c r="CJ840" s="21"/>
    </row>
    <row r="841" spans="60:88" x14ac:dyDescent="0.25">
      <c r="BH841" s="21"/>
      <c r="BI841" s="21"/>
      <c r="BJ841" s="21"/>
      <c r="BK841" s="21"/>
      <c r="BL841" s="21"/>
      <c r="BM841" s="21"/>
      <c r="BN841" s="21"/>
      <c r="BO841" s="21"/>
      <c r="BQ841" s="21"/>
      <c r="BR841" s="21"/>
      <c r="BS841" s="21"/>
      <c r="BU841" s="21"/>
      <c r="BX841" s="21"/>
      <c r="CG841" s="21"/>
      <c r="CH841" s="21"/>
      <c r="CI841" s="21"/>
      <c r="CJ841" s="21"/>
    </row>
    <row r="842" spans="60:88" x14ac:dyDescent="0.25">
      <c r="BH842" s="21"/>
      <c r="BI842" s="21"/>
      <c r="BJ842" s="21"/>
      <c r="BK842" s="21"/>
      <c r="BL842" s="21"/>
      <c r="BM842" s="21"/>
      <c r="BN842" s="21"/>
      <c r="BO842" s="21"/>
      <c r="BQ842" s="21"/>
      <c r="BR842" s="21"/>
      <c r="BS842" s="21"/>
      <c r="BU842" s="21"/>
      <c r="BX842" s="21"/>
      <c r="CG842" s="21"/>
      <c r="CH842" s="21"/>
      <c r="CI842" s="21"/>
      <c r="CJ842" s="21"/>
    </row>
    <row r="843" spans="60:88" x14ac:dyDescent="0.25">
      <c r="BH843" s="21"/>
      <c r="BI843" s="21"/>
      <c r="BJ843" s="21"/>
      <c r="BK843" s="21"/>
      <c r="BL843" s="21"/>
      <c r="BM843" s="21"/>
      <c r="BN843" s="21"/>
      <c r="BO843" s="21"/>
      <c r="BQ843" s="21"/>
      <c r="BR843" s="21"/>
      <c r="BS843" s="21"/>
      <c r="BU843" s="21"/>
      <c r="BX843" s="21"/>
      <c r="CG843" s="21"/>
      <c r="CH843" s="21"/>
      <c r="CI843" s="21"/>
      <c r="CJ843" s="21"/>
    </row>
    <row r="844" spans="60:88" x14ac:dyDescent="0.25">
      <c r="BH844" s="21"/>
      <c r="BI844" s="21"/>
      <c r="BJ844" s="21"/>
      <c r="BK844" s="21"/>
      <c r="BL844" s="21"/>
      <c r="BM844" s="21"/>
      <c r="BN844" s="21"/>
      <c r="BO844" s="21"/>
      <c r="BQ844" s="21"/>
      <c r="BR844" s="21"/>
      <c r="BS844" s="21"/>
      <c r="BU844" s="21"/>
      <c r="BX844" s="21"/>
      <c r="CG844" s="21"/>
      <c r="CH844" s="21"/>
      <c r="CI844" s="21"/>
      <c r="CJ844" s="21"/>
    </row>
    <row r="845" spans="60:88" x14ac:dyDescent="0.25">
      <c r="BH845" s="21"/>
      <c r="BI845" s="21"/>
      <c r="BJ845" s="21"/>
      <c r="BK845" s="21"/>
      <c r="BL845" s="21"/>
      <c r="BM845" s="21"/>
      <c r="BN845" s="21"/>
      <c r="BO845" s="21"/>
      <c r="BQ845" s="21"/>
      <c r="BR845" s="21"/>
      <c r="BS845" s="21"/>
      <c r="BU845" s="21"/>
      <c r="BX845" s="21"/>
      <c r="CG845" s="21"/>
      <c r="CH845" s="21"/>
      <c r="CI845" s="21"/>
      <c r="CJ845" s="21"/>
    </row>
    <row r="846" spans="60:88" x14ac:dyDescent="0.25">
      <c r="BH846" s="21"/>
      <c r="BI846" s="21"/>
      <c r="BJ846" s="21"/>
      <c r="BK846" s="21"/>
      <c r="BL846" s="21"/>
      <c r="BM846" s="21"/>
      <c r="BN846" s="21"/>
      <c r="BO846" s="21"/>
      <c r="BQ846" s="21"/>
      <c r="BR846" s="21"/>
      <c r="BS846" s="21"/>
      <c r="BU846" s="21"/>
      <c r="BX846" s="21"/>
      <c r="CG846" s="21"/>
      <c r="CH846" s="21"/>
      <c r="CI846" s="21"/>
      <c r="CJ846" s="21"/>
    </row>
    <row r="847" spans="60:88" x14ac:dyDescent="0.25">
      <c r="BH847" s="21"/>
      <c r="BI847" s="21"/>
      <c r="BJ847" s="21"/>
      <c r="BK847" s="21"/>
      <c r="BL847" s="21"/>
      <c r="BM847" s="21"/>
      <c r="BN847" s="21"/>
      <c r="BO847" s="21"/>
      <c r="BQ847" s="21"/>
      <c r="BR847" s="21"/>
      <c r="BS847" s="21"/>
      <c r="BU847" s="21"/>
      <c r="BX847" s="21"/>
      <c r="CG847" s="21"/>
      <c r="CH847" s="21"/>
      <c r="CI847" s="21"/>
      <c r="CJ847" s="21"/>
    </row>
    <row r="848" spans="60:88" x14ac:dyDescent="0.25">
      <c r="BH848" s="21"/>
      <c r="BI848" s="21"/>
      <c r="BJ848" s="21"/>
      <c r="BK848" s="21"/>
      <c r="BL848" s="21"/>
      <c r="BM848" s="21"/>
      <c r="BN848" s="21"/>
      <c r="BO848" s="21"/>
      <c r="BQ848" s="21"/>
      <c r="BR848" s="21"/>
      <c r="BS848" s="21"/>
      <c r="BU848" s="21"/>
      <c r="BX848" s="21"/>
      <c r="CG848" s="21"/>
      <c r="CH848" s="21"/>
      <c r="CI848" s="21"/>
      <c r="CJ848" s="21"/>
    </row>
    <row r="849" spans="60:88" x14ac:dyDescent="0.25">
      <c r="BH849" s="21"/>
      <c r="BI849" s="21"/>
      <c r="BJ849" s="21"/>
      <c r="BK849" s="21"/>
      <c r="BL849" s="21"/>
      <c r="BM849" s="21"/>
      <c r="BN849" s="21"/>
      <c r="BO849" s="21"/>
      <c r="BQ849" s="21"/>
      <c r="BR849" s="21"/>
      <c r="BS849" s="21"/>
      <c r="BU849" s="21"/>
      <c r="BX849" s="21"/>
      <c r="CG849" s="21"/>
      <c r="CH849" s="21"/>
      <c r="CI849" s="21"/>
      <c r="CJ849" s="21"/>
    </row>
    <row r="850" spans="60:88" x14ac:dyDescent="0.25">
      <c r="BH850" s="21"/>
      <c r="BI850" s="21"/>
      <c r="BJ850" s="21"/>
      <c r="BK850" s="21"/>
      <c r="BL850" s="21"/>
      <c r="BM850" s="21"/>
      <c r="BN850" s="21"/>
      <c r="BO850" s="21"/>
      <c r="BQ850" s="21"/>
      <c r="BR850" s="21"/>
      <c r="BS850" s="21"/>
      <c r="BU850" s="21"/>
      <c r="BX850" s="21"/>
      <c r="CG850" s="21"/>
      <c r="CH850" s="21"/>
      <c r="CI850" s="21"/>
      <c r="CJ850" s="21"/>
    </row>
    <row r="851" spans="60:88" x14ac:dyDescent="0.25">
      <c r="BH851" s="21"/>
      <c r="BI851" s="21"/>
      <c r="BJ851" s="21"/>
      <c r="BK851" s="21"/>
      <c r="BL851" s="21"/>
      <c r="BM851" s="21"/>
      <c r="BN851" s="21"/>
      <c r="BO851" s="21"/>
      <c r="BQ851" s="21"/>
      <c r="BR851" s="21"/>
      <c r="BS851" s="21"/>
      <c r="BU851" s="21"/>
      <c r="BX851" s="21"/>
      <c r="CG851" s="21"/>
      <c r="CH851" s="21"/>
      <c r="CI851" s="21"/>
      <c r="CJ851" s="21"/>
    </row>
    <row r="852" spans="60:88" x14ac:dyDescent="0.25">
      <c r="BH852" s="21"/>
      <c r="BI852" s="21"/>
      <c r="BJ852" s="21"/>
      <c r="BK852" s="21"/>
      <c r="BL852" s="21"/>
      <c r="BM852" s="21"/>
      <c r="BN852" s="21"/>
      <c r="BO852" s="21"/>
      <c r="BQ852" s="21"/>
      <c r="BR852" s="21"/>
      <c r="BS852" s="21"/>
      <c r="BU852" s="21"/>
      <c r="BX852" s="21"/>
      <c r="CG852" s="21"/>
      <c r="CH852" s="21"/>
      <c r="CI852" s="21"/>
      <c r="CJ852" s="21"/>
    </row>
    <row r="853" spans="60:88" x14ac:dyDescent="0.25">
      <c r="BH853" s="21"/>
      <c r="BI853" s="21"/>
      <c r="BJ853" s="21"/>
      <c r="BK853" s="21"/>
      <c r="BL853" s="21"/>
      <c r="BM853" s="21"/>
      <c r="BN853" s="21"/>
      <c r="BO853" s="21"/>
      <c r="BQ853" s="21"/>
      <c r="BR853" s="21"/>
      <c r="BS853" s="21"/>
      <c r="BU853" s="21"/>
      <c r="BX853" s="21"/>
      <c r="CG853" s="21"/>
      <c r="CH853" s="21"/>
      <c r="CI853" s="21"/>
      <c r="CJ853" s="21"/>
    </row>
    <row r="854" spans="60:88" x14ac:dyDescent="0.25">
      <c r="BH854" s="21"/>
      <c r="BI854" s="21"/>
      <c r="BJ854" s="21"/>
      <c r="BK854" s="21"/>
      <c r="BL854" s="21"/>
      <c r="BM854" s="21"/>
      <c r="BN854" s="21"/>
      <c r="BO854" s="21"/>
      <c r="BQ854" s="21"/>
      <c r="BR854" s="21"/>
      <c r="BS854" s="21"/>
      <c r="BU854" s="21"/>
      <c r="BX854" s="21"/>
      <c r="CG854" s="21"/>
      <c r="CH854" s="21"/>
      <c r="CI854" s="21"/>
      <c r="CJ854" s="21"/>
    </row>
    <row r="855" spans="60:88" x14ac:dyDescent="0.25">
      <c r="BH855" s="21"/>
      <c r="BI855" s="21"/>
      <c r="BJ855" s="21"/>
      <c r="BK855" s="21"/>
      <c r="BL855" s="21"/>
      <c r="BM855" s="21"/>
      <c r="BN855" s="21"/>
      <c r="BO855" s="21"/>
      <c r="BQ855" s="21"/>
      <c r="BR855" s="21"/>
      <c r="BS855" s="21"/>
      <c r="BU855" s="21"/>
      <c r="BX855" s="21"/>
      <c r="CG855" s="21"/>
      <c r="CH855" s="21"/>
      <c r="CI855" s="21"/>
      <c r="CJ855" s="21"/>
    </row>
    <row r="856" spans="60:88" x14ac:dyDescent="0.25">
      <c r="BH856" s="21"/>
      <c r="BI856" s="21"/>
      <c r="BJ856" s="21"/>
      <c r="BK856" s="21"/>
      <c r="BL856" s="21"/>
      <c r="BM856" s="21"/>
      <c r="BN856" s="21"/>
      <c r="BO856" s="21"/>
      <c r="BQ856" s="21"/>
      <c r="BR856" s="21"/>
      <c r="BS856" s="21"/>
      <c r="BU856" s="21"/>
      <c r="BX856" s="21"/>
      <c r="CG856" s="21"/>
      <c r="CH856" s="21"/>
      <c r="CI856" s="21"/>
      <c r="CJ856" s="21"/>
    </row>
    <row r="857" spans="60:88" x14ac:dyDescent="0.25">
      <c r="BH857" s="21"/>
      <c r="BI857" s="21"/>
      <c r="BJ857" s="21"/>
      <c r="BK857" s="21"/>
      <c r="BL857" s="21"/>
      <c r="BM857" s="21"/>
      <c r="BN857" s="21"/>
      <c r="BO857" s="21"/>
      <c r="BQ857" s="21"/>
      <c r="BR857" s="21"/>
      <c r="BS857" s="21"/>
      <c r="BU857" s="21"/>
      <c r="BX857" s="21"/>
      <c r="CG857" s="21"/>
      <c r="CH857" s="21"/>
      <c r="CI857" s="21"/>
      <c r="CJ857" s="21"/>
    </row>
    <row r="858" spans="60:88" x14ac:dyDescent="0.25">
      <c r="BH858" s="21"/>
      <c r="BI858" s="21"/>
      <c r="BJ858" s="21"/>
      <c r="BK858" s="21"/>
      <c r="BL858" s="21"/>
      <c r="BM858" s="21"/>
      <c r="BN858" s="21"/>
      <c r="BO858" s="21"/>
      <c r="BQ858" s="21"/>
      <c r="BR858" s="21"/>
      <c r="BS858" s="21"/>
      <c r="BU858" s="21"/>
      <c r="BX858" s="21"/>
      <c r="CG858" s="21"/>
      <c r="CH858" s="21"/>
      <c r="CI858" s="21"/>
      <c r="CJ858" s="21"/>
    </row>
    <row r="859" spans="60:88" x14ac:dyDescent="0.25">
      <c r="BH859" s="21"/>
      <c r="BI859" s="21"/>
      <c r="BJ859" s="21"/>
      <c r="BK859" s="21"/>
      <c r="BL859" s="21"/>
      <c r="BM859" s="21"/>
      <c r="BN859" s="21"/>
      <c r="BO859" s="21"/>
      <c r="BQ859" s="21"/>
      <c r="BR859" s="21"/>
      <c r="BS859" s="21"/>
      <c r="BU859" s="21"/>
      <c r="BX859" s="21"/>
      <c r="CG859" s="21"/>
      <c r="CH859" s="21"/>
      <c r="CI859" s="21"/>
      <c r="CJ859" s="21"/>
    </row>
    <row r="860" spans="60:88" x14ac:dyDescent="0.25">
      <c r="BH860" s="21"/>
      <c r="BI860" s="21"/>
      <c r="BJ860" s="21"/>
      <c r="BK860" s="21"/>
      <c r="BL860" s="21"/>
      <c r="BM860" s="21"/>
      <c r="BN860" s="21"/>
      <c r="BO860" s="21"/>
      <c r="BQ860" s="21"/>
      <c r="BR860" s="21"/>
      <c r="BS860" s="21"/>
      <c r="BU860" s="21"/>
      <c r="BX860" s="21"/>
      <c r="CG860" s="21"/>
      <c r="CH860" s="21"/>
      <c r="CI860" s="21"/>
      <c r="CJ860" s="21"/>
    </row>
    <row r="861" spans="60:88" x14ac:dyDescent="0.25">
      <c r="BH861" s="21"/>
      <c r="BI861" s="21"/>
      <c r="BJ861" s="21"/>
      <c r="BK861" s="21"/>
      <c r="BL861" s="21"/>
      <c r="BM861" s="21"/>
      <c r="BN861" s="21"/>
      <c r="BO861" s="21"/>
      <c r="BQ861" s="21"/>
      <c r="BR861" s="21"/>
      <c r="BS861" s="21"/>
      <c r="BU861" s="21"/>
      <c r="BX861" s="21"/>
      <c r="CG861" s="21"/>
      <c r="CH861" s="21"/>
      <c r="CI861" s="21"/>
      <c r="CJ861" s="21"/>
    </row>
    <row r="862" spans="60:88" x14ac:dyDescent="0.25">
      <c r="BH862" s="21"/>
      <c r="BI862" s="21"/>
      <c r="BJ862" s="21"/>
      <c r="BK862" s="21"/>
      <c r="BL862" s="21"/>
      <c r="BM862" s="21"/>
      <c r="BN862" s="21"/>
      <c r="BO862" s="21"/>
      <c r="BQ862" s="21"/>
      <c r="BR862" s="21"/>
      <c r="BS862" s="21"/>
      <c r="BU862" s="21"/>
      <c r="BX862" s="21"/>
      <c r="CG862" s="21"/>
      <c r="CH862" s="21"/>
      <c r="CI862" s="21"/>
      <c r="CJ862" s="21"/>
    </row>
    <row r="863" spans="60:88" x14ac:dyDescent="0.25">
      <c r="BH863" s="21"/>
      <c r="BI863" s="21"/>
      <c r="BJ863" s="21"/>
      <c r="BK863" s="21"/>
      <c r="BL863" s="21"/>
      <c r="BM863" s="21"/>
      <c r="BN863" s="21"/>
      <c r="BO863" s="21"/>
      <c r="BQ863" s="21"/>
      <c r="BR863" s="21"/>
      <c r="BS863" s="21"/>
      <c r="BU863" s="21"/>
      <c r="BX863" s="21"/>
      <c r="CG863" s="21"/>
      <c r="CH863" s="21"/>
      <c r="CI863" s="21"/>
      <c r="CJ863" s="21"/>
    </row>
    <row r="864" spans="60:88" x14ac:dyDescent="0.25">
      <c r="BH864" s="21"/>
      <c r="BI864" s="21"/>
      <c r="BJ864" s="21"/>
      <c r="BK864" s="21"/>
      <c r="BL864" s="21"/>
      <c r="BM864" s="21"/>
      <c r="BN864" s="21"/>
      <c r="BO864" s="21"/>
      <c r="BQ864" s="21"/>
      <c r="BR864" s="21"/>
      <c r="BS864" s="21"/>
      <c r="BU864" s="21"/>
      <c r="BX864" s="21"/>
      <c r="CG864" s="21"/>
      <c r="CH864" s="21"/>
      <c r="CI864" s="21"/>
      <c r="CJ864" s="21"/>
    </row>
    <row r="865" spans="60:88" x14ac:dyDescent="0.25">
      <c r="BH865" s="21"/>
      <c r="BI865" s="21"/>
      <c r="BJ865" s="21"/>
      <c r="BK865" s="21"/>
      <c r="BL865" s="21"/>
      <c r="BM865" s="21"/>
      <c r="BN865" s="21"/>
      <c r="BO865" s="21"/>
      <c r="BQ865" s="21"/>
      <c r="BR865" s="21"/>
      <c r="BS865" s="21"/>
      <c r="BU865" s="21"/>
      <c r="BX865" s="21"/>
      <c r="CG865" s="21"/>
      <c r="CH865" s="21"/>
      <c r="CI865" s="21"/>
      <c r="CJ865" s="21"/>
    </row>
    <row r="866" spans="60:88" x14ac:dyDescent="0.25">
      <c r="BH866" s="21"/>
      <c r="BI866" s="21"/>
      <c r="BJ866" s="21"/>
      <c r="BK866" s="21"/>
      <c r="BL866" s="21"/>
      <c r="BM866" s="21"/>
      <c r="BN866" s="21"/>
      <c r="BO866" s="21"/>
      <c r="BQ866" s="21"/>
      <c r="BR866" s="21"/>
      <c r="BS866" s="21"/>
      <c r="BU866" s="21"/>
      <c r="BX866" s="21"/>
      <c r="CG866" s="21"/>
      <c r="CH866" s="21"/>
      <c r="CI866" s="21"/>
      <c r="CJ866" s="21"/>
    </row>
    <row r="867" spans="60:88" x14ac:dyDescent="0.25">
      <c r="BH867" s="21"/>
      <c r="BI867" s="21"/>
      <c r="BJ867" s="21"/>
      <c r="BK867" s="21"/>
      <c r="BL867" s="21"/>
      <c r="BM867" s="21"/>
      <c r="BN867" s="21"/>
      <c r="BO867" s="21"/>
      <c r="BQ867" s="21"/>
      <c r="BR867" s="21"/>
      <c r="BS867" s="21"/>
      <c r="BU867" s="21"/>
      <c r="BX867" s="21"/>
      <c r="CG867" s="21"/>
      <c r="CH867" s="21"/>
      <c r="CI867" s="21"/>
      <c r="CJ867" s="21"/>
    </row>
    <row r="868" spans="60:88" x14ac:dyDescent="0.25">
      <c r="BH868" s="21"/>
      <c r="BI868" s="21"/>
      <c r="BJ868" s="21"/>
      <c r="BK868" s="21"/>
      <c r="BL868" s="21"/>
      <c r="BM868" s="21"/>
      <c r="BN868" s="21"/>
      <c r="BO868" s="21"/>
      <c r="BQ868" s="21"/>
      <c r="BR868" s="21"/>
      <c r="BS868" s="21"/>
      <c r="BU868" s="21"/>
      <c r="BX868" s="21"/>
      <c r="CG868" s="21"/>
      <c r="CH868" s="21"/>
      <c r="CI868" s="21"/>
      <c r="CJ868" s="21"/>
    </row>
    <row r="869" spans="60:88" x14ac:dyDescent="0.25">
      <c r="BH869" s="21"/>
      <c r="BI869" s="21"/>
      <c r="BJ869" s="21"/>
      <c r="BK869" s="21"/>
      <c r="BL869" s="21"/>
      <c r="BM869" s="21"/>
      <c r="BN869" s="21"/>
      <c r="BO869" s="21"/>
      <c r="BQ869" s="21"/>
      <c r="BR869" s="21"/>
      <c r="BS869" s="21"/>
      <c r="BU869" s="21"/>
      <c r="BX869" s="21"/>
      <c r="CG869" s="21"/>
      <c r="CH869" s="21"/>
      <c r="CI869" s="21"/>
      <c r="CJ869" s="21"/>
    </row>
    <row r="870" spans="60:88" x14ac:dyDescent="0.25">
      <c r="BH870" s="21"/>
      <c r="BI870" s="21"/>
      <c r="BJ870" s="21"/>
      <c r="BK870" s="21"/>
      <c r="BL870" s="21"/>
      <c r="BM870" s="21"/>
      <c r="BN870" s="21"/>
      <c r="BO870" s="21"/>
      <c r="BQ870" s="21"/>
      <c r="BR870" s="21"/>
      <c r="BS870" s="21"/>
      <c r="BU870" s="21"/>
      <c r="BX870" s="21"/>
      <c r="CG870" s="21"/>
      <c r="CH870" s="21"/>
      <c r="CI870" s="21"/>
      <c r="CJ870" s="21"/>
    </row>
    <row r="871" spans="60:88" x14ac:dyDescent="0.25">
      <c r="BH871" s="21"/>
      <c r="BI871" s="21"/>
      <c r="BJ871" s="21"/>
      <c r="BK871" s="21"/>
      <c r="BL871" s="21"/>
      <c r="BM871" s="21"/>
      <c r="BN871" s="21"/>
      <c r="BO871" s="21"/>
      <c r="BQ871" s="21"/>
      <c r="BR871" s="21"/>
      <c r="BS871" s="21"/>
      <c r="BU871" s="21"/>
      <c r="BX871" s="21"/>
      <c r="CG871" s="21"/>
      <c r="CH871" s="21"/>
      <c r="CI871" s="21"/>
      <c r="CJ871" s="21"/>
    </row>
    <row r="872" spans="60:88" x14ac:dyDescent="0.25">
      <c r="BH872" s="21"/>
      <c r="BI872" s="21"/>
      <c r="BJ872" s="21"/>
      <c r="BK872" s="21"/>
      <c r="BL872" s="21"/>
      <c r="BM872" s="21"/>
      <c r="BN872" s="21"/>
      <c r="BO872" s="21"/>
      <c r="BQ872" s="21"/>
      <c r="BR872" s="21"/>
      <c r="BS872" s="21"/>
      <c r="BU872" s="21"/>
      <c r="BX872" s="21"/>
      <c r="CG872" s="21"/>
      <c r="CH872" s="21"/>
      <c r="CI872" s="21"/>
      <c r="CJ872" s="21"/>
    </row>
    <row r="873" spans="60:88" x14ac:dyDescent="0.25">
      <c r="BH873" s="21"/>
      <c r="BI873" s="21"/>
      <c r="BJ873" s="21"/>
      <c r="BK873" s="21"/>
      <c r="BL873" s="21"/>
      <c r="BM873" s="21"/>
      <c r="BN873" s="21"/>
      <c r="BO873" s="21"/>
      <c r="BQ873" s="21"/>
      <c r="BR873" s="21"/>
      <c r="BS873" s="21"/>
      <c r="BU873" s="21"/>
      <c r="BX873" s="21"/>
      <c r="CG873" s="21"/>
      <c r="CH873" s="21"/>
      <c r="CI873" s="21"/>
      <c r="CJ873" s="21"/>
    </row>
    <row r="874" spans="60:88" x14ac:dyDescent="0.25">
      <c r="BH874" s="21"/>
      <c r="BI874" s="21"/>
      <c r="BJ874" s="21"/>
      <c r="BK874" s="21"/>
      <c r="BL874" s="21"/>
      <c r="BM874" s="21"/>
      <c r="BN874" s="21"/>
      <c r="BO874" s="21"/>
      <c r="BQ874" s="21"/>
      <c r="BR874" s="21"/>
      <c r="BS874" s="21"/>
      <c r="BU874" s="21"/>
      <c r="BX874" s="21"/>
      <c r="CG874" s="21"/>
      <c r="CH874" s="21"/>
      <c r="CI874" s="21"/>
      <c r="CJ874" s="21"/>
    </row>
    <row r="875" spans="60:88" x14ac:dyDescent="0.25">
      <c r="BH875" s="21"/>
      <c r="BI875" s="21"/>
      <c r="BJ875" s="21"/>
      <c r="BK875" s="21"/>
      <c r="BL875" s="21"/>
      <c r="BM875" s="21"/>
      <c r="BN875" s="21"/>
      <c r="BO875" s="21"/>
      <c r="BQ875" s="21"/>
      <c r="BR875" s="21"/>
      <c r="BS875" s="21"/>
      <c r="BU875" s="21"/>
      <c r="BX875" s="21"/>
      <c r="CG875" s="21"/>
      <c r="CH875" s="21"/>
      <c r="CI875" s="21"/>
      <c r="CJ875" s="21"/>
    </row>
    <row r="876" spans="60:88" x14ac:dyDescent="0.25">
      <c r="BH876" s="21"/>
      <c r="BI876" s="21"/>
      <c r="BJ876" s="21"/>
      <c r="BK876" s="21"/>
      <c r="BL876" s="21"/>
      <c r="BM876" s="21"/>
      <c r="BN876" s="21"/>
      <c r="BO876" s="21"/>
      <c r="BQ876" s="21"/>
      <c r="BR876" s="21"/>
      <c r="BS876" s="21"/>
      <c r="BU876" s="21"/>
      <c r="BX876" s="21"/>
      <c r="CG876" s="21"/>
      <c r="CH876" s="21"/>
      <c r="CI876" s="21"/>
      <c r="CJ876" s="21"/>
    </row>
    <row r="877" spans="60:88" x14ac:dyDescent="0.25">
      <c r="BH877" s="21"/>
      <c r="BI877" s="21"/>
      <c r="BJ877" s="21"/>
      <c r="BK877" s="21"/>
      <c r="BL877" s="21"/>
      <c r="BM877" s="21"/>
      <c r="BN877" s="21"/>
      <c r="BO877" s="21"/>
      <c r="BQ877" s="21"/>
      <c r="BR877" s="21"/>
      <c r="BS877" s="21"/>
      <c r="BU877" s="21"/>
      <c r="BX877" s="21"/>
      <c r="CG877" s="21"/>
      <c r="CH877" s="21"/>
      <c r="CI877" s="21"/>
      <c r="CJ877" s="21"/>
    </row>
    <row r="878" spans="60:88" x14ac:dyDescent="0.25">
      <c r="BH878" s="21"/>
      <c r="BI878" s="21"/>
      <c r="BJ878" s="21"/>
      <c r="BK878" s="21"/>
      <c r="BL878" s="21"/>
      <c r="BM878" s="21"/>
      <c r="BN878" s="21"/>
      <c r="BO878" s="21"/>
      <c r="BQ878" s="21"/>
      <c r="BR878" s="21"/>
      <c r="BS878" s="21"/>
      <c r="BU878" s="21"/>
      <c r="BX878" s="21"/>
      <c r="CG878" s="21"/>
      <c r="CH878" s="21"/>
      <c r="CI878" s="21"/>
      <c r="CJ878" s="21"/>
    </row>
    <row r="879" spans="60:88" x14ac:dyDescent="0.25">
      <c r="BH879" s="21"/>
      <c r="BI879" s="21"/>
      <c r="BJ879" s="21"/>
      <c r="BK879" s="21"/>
      <c r="BL879" s="21"/>
      <c r="BM879" s="21"/>
      <c r="BN879" s="21"/>
      <c r="BO879" s="21"/>
      <c r="BQ879" s="21"/>
      <c r="BR879" s="21"/>
      <c r="BS879" s="21"/>
      <c r="BU879" s="21"/>
      <c r="BX879" s="21"/>
      <c r="CG879" s="21"/>
      <c r="CH879" s="21"/>
      <c r="CI879" s="21"/>
      <c r="CJ879" s="21"/>
    </row>
    <row r="880" spans="60:88" x14ac:dyDescent="0.25">
      <c r="BH880" s="21"/>
      <c r="BI880" s="21"/>
      <c r="BJ880" s="21"/>
      <c r="BK880" s="21"/>
      <c r="BL880" s="21"/>
      <c r="BM880" s="21"/>
      <c r="BN880" s="21"/>
      <c r="BO880" s="21"/>
      <c r="BQ880" s="21"/>
      <c r="BR880" s="21"/>
      <c r="BS880" s="21"/>
      <c r="BU880" s="21"/>
      <c r="BX880" s="21"/>
      <c r="CG880" s="21"/>
      <c r="CH880" s="21"/>
      <c r="CI880" s="21"/>
      <c r="CJ880" s="21"/>
    </row>
    <row r="881" spans="60:88" x14ac:dyDescent="0.25">
      <c r="BH881" s="21"/>
      <c r="BI881" s="21"/>
      <c r="BJ881" s="21"/>
      <c r="BK881" s="21"/>
      <c r="BL881" s="21"/>
      <c r="BM881" s="21"/>
      <c r="BN881" s="21"/>
      <c r="BO881" s="21"/>
      <c r="BQ881" s="21"/>
      <c r="BR881" s="21"/>
      <c r="BS881" s="21"/>
      <c r="BU881" s="21"/>
      <c r="BX881" s="21"/>
      <c r="CG881" s="21"/>
      <c r="CH881" s="21"/>
      <c r="CI881" s="21"/>
      <c r="CJ881" s="21"/>
    </row>
    <row r="882" spans="60:88" x14ac:dyDescent="0.25">
      <c r="BH882" s="21"/>
      <c r="BI882" s="21"/>
      <c r="BJ882" s="21"/>
      <c r="BK882" s="21"/>
      <c r="BL882" s="21"/>
      <c r="BM882" s="21"/>
      <c r="BN882" s="21"/>
      <c r="BO882" s="21"/>
      <c r="BQ882" s="21"/>
      <c r="BR882" s="21"/>
      <c r="BS882" s="21"/>
      <c r="BU882" s="21"/>
      <c r="BX882" s="21"/>
      <c r="CG882" s="21"/>
      <c r="CH882" s="21"/>
      <c r="CI882" s="21"/>
      <c r="CJ882" s="21"/>
    </row>
    <row r="883" spans="60:88" x14ac:dyDescent="0.25">
      <c r="BH883" s="21"/>
      <c r="BI883" s="21"/>
      <c r="BJ883" s="21"/>
      <c r="BK883" s="21"/>
      <c r="BL883" s="21"/>
      <c r="BM883" s="21"/>
      <c r="BN883" s="21"/>
      <c r="BO883" s="21"/>
      <c r="BQ883" s="21"/>
      <c r="BR883" s="21"/>
      <c r="BS883" s="21"/>
      <c r="BU883" s="21"/>
      <c r="BX883" s="21"/>
      <c r="CG883" s="21"/>
      <c r="CH883" s="21"/>
      <c r="CI883" s="21"/>
      <c r="CJ883" s="21"/>
    </row>
    <row r="884" spans="60:88" x14ac:dyDescent="0.25">
      <c r="BH884" s="21"/>
      <c r="BI884" s="21"/>
      <c r="BJ884" s="21"/>
      <c r="BK884" s="21"/>
      <c r="BL884" s="21"/>
      <c r="BM884" s="21"/>
      <c r="BN884" s="21"/>
      <c r="BO884" s="21"/>
      <c r="BQ884" s="21"/>
      <c r="BR884" s="21"/>
      <c r="BS884" s="21"/>
      <c r="BU884" s="21"/>
      <c r="BX884" s="21"/>
      <c r="CG884" s="21"/>
      <c r="CH884" s="21"/>
      <c r="CI884" s="21"/>
      <c r="CJ884" s="21"/>
    </row>
    <row r="885" spans="60:88" x14ac:dyDescent="0.25">
      <c r="BH885" s="21"/>
      <c r="BI885" s="21"/>
      <c r="BJ885" s="21"/>
      <c r="BK885" s="21"/>
      <c r="BL885" s="21"/>
      <c r="BM885" s="21"/>
      <c r="BN885" s="21"/>
      <c r="BO885" s="21"/>
      <c r="BQ885" s="21"/>
      <c r="BR885" s="21"/>
      <c r="BS885" s="21"/>
      <c r="BU885" s="21"/>
      <c r="BX885" s="21"/>
      <c r="CG885" s="21"/>
      <c r="CH885" s="21"/>
      <c r="CI885" s="21"/>
      <c r="CJ885" s="21"/>
    </row>
    <row r="886" spans="60:88" x14ac:dyDescent="0.25">
      <c r="BH886" s="21"/>
      <c r="BI886" s="21"/>
      <c r="BJ886" s="21"/>
      <c r="BK886" s="21"/>
      <c r="BL886" s="21"/>
      <c r="BM886" s="21"/>
      <c r="BN886" s="21"/>
      <c r="BO886" s="21"/>
      <c r="BQ886" s="21"/>
      <c r="BR886" s="21"/>
      <c r="BS886" s="21"/>
      <c r="BU886" s="21"/>
      <c r="BX886" s="21"/>
      <c r="CG886" s="21"/>
      <c r="CH886" s="21"/>
      <c r="CI886" s="21"/>
      <c r="CJ886" s="21"/>
    </row>
    <row r="887" spans="60:88" x14ac:dyDescent="0.25">
      <c r="BH887" s="21"/>
      <c r="BI887" s="21"/>
      <c r="BJ887" s="21"/>
      <c r="BK887" s="21"/>
      <c r="BL887" s="21"/>
      <c r="BM887" s="21"/>
      <c r="BN887" s="21"/>
      <c r="BO887" s="21"/>
      <c r="BQ887" s="21"/>
      <c r="BR887" s="21"/>
      <c r="BS887" s="21"/>
      <c r="BU887" s="21"/>
      <c r="BX887" s="21"/>
      <c r="CG887" s="21"/>
      <c r="CH887" s="21"/>
      <c r="CI887" s="21"/>
      <c r="CJ887" s="21"/>
    </row>
    <row r="888" spans="60:88" x14ac:dyDescent="0.25">
      <c r="BH888" s="21"/>
      <c r="BI888" s="21"/>
      <c r="BJ888" s="21"/>
      <c r="BK888" s="21"/>
      <c r="BL888" s="21"/>
      <c r="BM888" s="21"/>
      <c r="BN888" s="21"/>
      <c r="BO888" s="21"/>
      <c r="BQ888" s="21"/>
      <c r="BR888" s="21"/>
      <c r="BS888" s="21"/>
      <c r="BU888" s="21"/>
      <c r="BX888" s="21"/>
      <c r="CG888" s="21"/>
      <c r="CH888" s="21"/>
      <c r="CI888" s="21"/>
      <c r="CJ888" s="21"/>
    </row>
    <row r="889" spans="60:88" x14ac:dyDescent="0.25">
      <c r="BH889" s="21"/>
      <c r="BI889" s="21"/>
      <c r="BJ889" s="21"/>
      <c r="BK889" s="21"/>
      <c r="BL889" s="21"/>
      <c r="BM889" s="21"/>
      <c r="BN889" s="21"/>
      <c r="BO889" s="21"/>
      <c r="BQ889" s="21"/>
      <c r="BR889" s="21"/>
      <c r="BS889" s="21"/>
      <c r="BU889" s="21"/>
      <c r="BX889" s="21"/>
      <c r="CG889" s="21"/>
      <c r="CH889" s="21"/>
      <c r="CI889" s="21"/>
      <c r="CJ889" s="21"/>
    </row>
    <row r="890" spans="60:88" x14ac:dyDescent="0.25">
      <c r="BH890" s="21"/>
      <c r="BI890" s="21"/>
      <c r="BJ890" s="21"/>
      <c r="BK890" s="21"/>
      <c r="BL890" s="21"/>
      <c r="BM890" s="21"/>
      <c r="BN890" s="21"/>
      <c r="BO890" s="21"/>
      <c r="BQ890" s="21"/>
      <c r="BR890" s="21"/>
      <c r="BS890" s="21"/>
      <c r="BU890" s="21"/>
      <c r="BX890" s="21"/>
      <c r="CG890" s="21"/>
      <c r="CH890" s="21"/>
      <c r="CI890" s="21"/>
      <c r="CJ890" s="21"/>
    </row>
    <row r="891" spans="60:88" x14ac:dyDescent="0.25">
      <c r="BH891" s="21"/>
      <c r="BI891" s="21"/>
      <c r="BJ891" s="21"/>
      <c r="BK891" s="21"/>
      <c r="BL891" s="21"/>
      <c r="BM891" s="21"/>
      <c r="BN891" s="21"/>
      <c r="BO891" s="21"/>
      <c r="BQ891" s="21"/>
      <c r="BR891" s="21"/>
      <c r="BS891" s="21"/>
      <c r="BU891" s="21"/>
      <c r="BX891" s="21"/>
      <c r="CG891" s="21"/>
      <c r="CH891" s="21"/>
      <c r="CI891" s="21"/>
      <c r="CJ891" s="21"/>
    </row>
    <row r="892" spans="60:88" x14ac:dyDescent="0.25">
      <c r="BH892" s="21"/>
      <c r="BI892" s="21"/>
      <c r="BJ892" s="21"/>
      <c r="BK892" s="21"/>
      <c r="BL892" s="21"/>
      <c r="BM892" s="21"/>
      <c r="BN892" s="21"/>
      <c r="BO892" s="21"/>
      <c r="BQ892" s="21"/>
      <c r="BR892" s="21"/>
      <c r="BS892" s="21"/>
      <c r="BU892" s="21"/>
      <c r="BX892" s="21"/>
      <c r="CG892" s="21"/>
      <c r="CH892" s="21"/>
      <c r="CI892" s="21"/>
      <c r="CJ892" s="21"/>
    </row>
    <row r="893" spans="60:88" x14ac:dyDescent="0.25">
      <c r="BH893" s="21"/>
      <c r="BI893" s="21"/>
      <c r="BJ893" s="21"/>
      <c r="BK893" s="21"/>
      <c r="BL893" s="21"/>
      <c r="BM893" s="21"/>
      <c r="BN893" s="21"/>
      <c r="BO893" s="21"/>
      <c r="BQ893" s="21"/>
      <c r="BR893" s="21"/>
      <c r="BS893" s="21"/>
      <c r="BU893" s="21"/>
      <c r="BX893" s="21"/>
      <c r="CG893" s="21"/>
      <c r="CH893" s="21"/>
      <c r="CI893" s="21"/>
      <c r="CJ893" s="21"/>
    </row>
    <row r="894" spans="60:88" x14ac:dyDescent="0.25">
      <c r="BH894" s="21"/>
      <c r="BI894" s="21"/>
      <c r="BJ894" s="21"/>
      <c r="BK894" s="21"/>
      <c r="BL894" s="21"/>
      <c r="BM894" s="21"/>
      <c r="BN894" s="21"/>
      <c r="BO894" s="21"/>
      <c r="BQ894" s="21"/>
      <c r="BR894" s="21"/>
      <c r="BS894" s="21"/>
      <c r="BU894" s="21"/>
      <c r="BX894" s="21"/>
      <c r="CG894" s="21"/>
      <c r="CH894" s="21"/>
      <c r="CI894" s="21"/>
      <c r="CJ894" s="21"/>
    </row>
    <row r="895" spans="60:88" x14ac:dyDescent="0.25">
      <c r="BH895" s="21"/>
      <c r="BI895" s="21"/>
      <c r="BJ895" s="21"/>
      <c r="BK895" s="21"/>
      <c r="BL895" s="21"/>
      <c r="BM895" s="21"/>
      <c r="BN895" s="21"/>
      <c r="BO895" s="21"/>
      <c r="BQ895" s="21"/>
      <c r="BR895" s="21"/>
      <c r="BS895" s="21"/>
      <c r="BU895" s="21"/>
      <c r="BX895" s="21"/>
      <c r="CG895" s="21"/>
      <c r="CH895" s="21"/>
      <c r="CI895" s="21"/>
      <c r="CJ895" s="21"/>
    </row>
    <row r="896" spans="60:88" x14ac:dyDescent="0.25">
      <c r="BH896" s="21"/>
      <c r="BI896" s="21"/>
      <c r="BJ896" s="21"/>
      <c r="BK896" s="21"/>
      <c r="BL896" s="21"/>
      <c r="BM896" s="21"/>
      <c r="BN896" s="21"/>
      <c r="BO896" s="21"/>
      <c r="BQ896" s="21"/>
      <c r="BR896" s="21"/>
      <c r="BS896" s="21"/>
      <c r="BU896" s="21"/>
      <c r="BX896" s="21"/>
      <c r="CG896" s="21"/>
      <c r="CH896" s="21"/>
      <c r="CI896" s="21"/>
      <c r="CJ896" s="21"/>
    </row>
    <row r="897" spans="60:88" x14ac:dyDescent="0.25">
      <c r="BH897" s="21"/>
      <c r="BI897" s="21"/>
      <c r="BJ897" s="21"/>
      <c r="BK897" s="21"/>
      <c r="BL897" s="21"/>
      <c r="BM897" s="21"/>
      <c r="BN897" s="21"/>
      <c r="BO897" s="21"/>
      <c r="BQ897" s="21"/>
      <c r="BR897" s="21"/>
      <c r="BS897" s="21"/>
      <c r="BU897" s="21"/>
      <c r="BX897" s="21"/>
      <c r="CG897" s="21"/>
      <c r="CH897" s="21"/>
      <c r="CI897" s="21"/>
      <c r="CJ897" s="21"/>
    </row>
    <row r="898" spans="60:88" x14ac:dyDescent="0.25">
      <c r="BH898" s="21"/>
      <c r="BI898" s="21"/>
      <c r="BJ898" s="21"/>
      <c r="BK898" s="21"/>
      <c r="BL898" s="21"/>
      <c r="BM898" s="21"/>
      <c r="BN898" s="21"/>
      <c r="BO898" s="21"/>
      <c r="BQ898" s="21"/>
      <c r="BR898" s="21"/>
      <c r="BS898" s="21"/>
      <c r="BU898" s="21"/>
      <c r="BX898" s="21"/>
      <c r="CG898" s="21"/>
      <c r="CH898" s="21"/>
      <c r="CI898" s="21"/>
      <c r="CJ898" s="21"/>
    </row>
    <row r="899" spans="60:88" x14ac:dyDescent="0.25">
      <c r="BH899" s="21"/>
      <c r="BI899" s="21"/>
      <c r="BJ899" s="21"/>
      <c r="BK899" s="21"/>
      <c r="BL899" s="21"/>
      <c r="BM899" s="21"/>
      <c r="BN899" s="21"/>
      <c r="BO899" s="21"/>
      <c r="BQ899" s="21"/>
      <c r="BR899" s="21"/>
      <c r="BS899" s="21"/>
      <c r="BU899" s="21"/>
      <c r="BX899" s="21"/>
      <c r="CG899" s="21"/>
      <c r="CH899" s="21"/>
      <c r="CI899" s="21"/>
      <c r="CJ899" s="21"/>
    </row>
    <row r="900" spans="60:88" x14ac:dyDescent="0.25">
      <c r="BH900" s="21"/>
      <c r="BI900" s="21"/>
      <c r="BJ900" s="21"/>
      <c r="BK900" s="21"/>
      <c r="BL900" s="21"/>
      <c r="BM900" s="21"/>
      <c r="BN900" s="21"/>
      <c r="BO900" s="21"/>
      <c r="BQ900" s="21"/>
      <c r="BR900" s="21"/>
      <c r="BS900" s="21"/>
      <c r="BU900" s="21"/>
      <c r="BX900" s="21"/>
      <c r="CG900" s="21"/>
      <c r="CH900" s="21"/>
      <c r="CI900" s="21"/>
      <c r="CJ900" s="21"/>
    </row>
    <row r="901" spans="60:88" x14ac:dyDescent="0.25">
      <c r="BH901" s="21"/>
      <c r="BI901" s="21"/>
      <c r="BJ901" s="21"/>
      <c r="BK901" s="21"/>
      <c r="BL901" s="21"/>
      <c r="BM901" s="21"/>
      <c r="BN901" s="21"/>
      <c r="BO901" s="21"/>
      <c r="BQ901" s="21"/>
      <c r="BR901" s="21"/>
      <c r="BS901" s="21"/>
      <c r="BU901" s="21"/>
      <c r="BX901" s="21"/>
      <c r="CG901" s="21"/>
      <c r="CH901" s="21"/>
      <c r="CI901" s="21"/>
      <c r="CJ901" s="21"/>
    </row>
    <row r="902" spans="60:88" x14ac:dyDescent="0.25">
      <c r="BH902" s="21"/>
      <c r="BI902" s="21"/>
      <c r="BJ902" s="21"/>
      <c r="BK902" s="21"/>
      <c r="BL902" s="21"/>
      <c r="BM902" s="21"/>
      <c r="BN902" s="21"/>
      <c r="BO902" s="21"/>
      <c r="BQ902" s="21"/>
      <c r="BR902" s="21"/>
      <c r="BS902" s="21"/>
      <c r="BU902" s="21"/>
      <c r="BX902" s="21"/>
      <c r="CG902" s="21"/>
      <c r="CH902" s="21"/>
      <c r="CI902" s="21"/>
      <c r="CJ902" s="21"/>
    </row>
    <row r="903" spans="60:88" x14ac:dyDescent="0.25">
      <c r="BH903" s="21"/>
      <c r="BI903" s="21"/>
      <c r="BJ903" s="21"/>
      <c r="BK903" s="21"/>
      <c r="BL903" s="21"/>
      <c r="BM903" s="21"/>
      <c r="BN903" s="21"/>
      <c r="BO903" s="21"/>
      <c r="BQ903" s="21"/>
      <c r="BR903" s="21"/>
      <c r="BS903" s="21"/>
      <c r="BU903" s="21"/>
      <c r="BX903" s="21"/>
      <c r="CG903" s="21"/>
      <c r="CH903" s="21"/>
      <c r="CI903" s="21"/>
      <c r="CJ903" s="21"/>
    </row>
    <row r="904" spans="60:88" x14ac:dyDescent="0.25">
      <c r="BH904" s="21"/>
      <c r="BI904" s="21"/>
      <c r="BJ904" s="21"/>
      <c r="BK904" s="21"/>
      <c r="BL904" s="21"/>
      <c r="BM904" s="21"/>
      <c r="BN904" s="21"/>
      <c r="BO904" s="21"/>
      <c r="BQ904" s="21"/>
      <c r="BR904" s="21"/>
      <c r="BS904" s="21"/>
      <c r="BU904" s="21"/>
      <c r="BX904" s="21"/>
      <c r="CG904" s="21"/>
      <c r="CH904" s="21"/>
      <c r="CI904" s="21"/>
      <c r="CJ904" s="21"/>
    </row>
    <row r="905" spans="60:88" x14ac:dyDescent="0.25">
      <c r="BH905" s="21"/>
      <c r="BI905" s="21"/>
      <c r="BJ905" s="21"/>
      <c r="BK905" s="21"/>
      <c r="BL905" s="21"/>
      <c r="BM905" s="21"/>
      <c r="BN905" s="21"/>
      <c r="BO905" s="21"/>
      <c r="BQ905" s="21"/>
      <c r="BR905" s="21"/>
      <c r="BS905" s="21"/>
      <c r="BU905" s="21"/>
      <c r="BX905" s="21"/>
      <c r="CG905" s="21"/>
      <c r="CH905" s="21"/>
      <c r="CI905" s="21"/>
      <c r="CJ905" s="21"/>
    </row>
    <row r="906" spans="60:88" x14ac:dyDescent="0.25">
      <c r="BH906" s="21"/>
      <c r="BI906" s="21"/>
      <c r="BJ906" s="21"/>
      <c r="BK906" s="21"/>
      <c r="BL906" s="21"/>
      <c r="BM906" s="21"/>
      <c r="BN906" s="21"/>
      <c r="BO906" s="21"/>
      <c r="BQ906" s="21"/>
      <c r="BR906" s="21"/>
      <c r="BS906" s="21"/>
      <c r="BU906" s="21"/>
      <c r="BX906" s="21"/>
      <c r="CG906" s="21"/>
      <c r="CH906" s="21"/>
      <c r="CI906" s="21"/>
      <c r="CJ906" s="21"/>
    </row>
    <row r="907" spans="60:88" x14ac:dyDescent="0.25">
      <c r="BH907" s="21"/>
      <c r="BI907" s="21"/>
      <c r="BJ907" s="21"/>
      <c r="BK907" s="21"/>
      <c r="BL907" s="21"/>
      <c r="BM907" s="21"/>
      <c r="BN907" s="21"/>
      <c r="BO907" s="21"/>
      <c r="BQ907" s="21"/>
      <c r="BR907" s="21"/>
      <c r="BS907" s="21"/>
      <c r="BU907" s="21"/>
      <c r="BX907" s="21"/>
      <c r="CG907" s="21"/>
      <c r="CH907" s="21"/>
      <c r="CI907" s="21"/>
      <c r="CJ907" s="21"/>
    </row>
    <row r="908" spans="60:88" x14ac:dyDescent="0.25">
      <c r="BH908" s="21"/>
      <c r="BI908" s="21"/>
      <c r="BJ908" s="21"/>
      <c r="BK908" s="21"/>
      <c r="BL908" s="21"/>
      <c r="BM908" s="21"/>
      <c r="BN908" s="21"/>
      <c r="BO908" s="21"/>
      <c r="BQ908" s="21"/>
      <c r="BR908" s="21"/>
      <c r="BS908" s="21"/>
      <c r="BU908" s="21"/>
      <c r="BX908" s="21"/>
      <c r="CG908" s="21"/>
      <c r="CH908" s="21"/>
      <c r="CI908" s="21"/>
      <c r="CJ908" s="21"/>
    </row>
    <row r="909" spans="60:88" x14ac:dyDescent="0.25">
      <c r="BH909" s="21"/>
      <c r="BI909" s="21"/>
      <c r="BJ909" s="21"/>
      <c r="BK909" s="21"/>
      <c r="BL909" s="21"/>
      <c r="BM909" s="21"/>
      <c r="BN909" s="21"/>
      <c r="BO909" s="21"/>
      <c r="BQ909" s="21"/>
      <c r="BR909" s="21"/>
      <c r="BS909" s="21"/>
      <c r="BU909" s="21"/>
      <c r="BX909" s="21"/>
      <c r="CG909" s="21"/>
      <c r="CH909" s="21"/>
      <c r="CI909" s="21"/>
      <c r="CJ909" s="21"/>
    </row>
    <row r="910" spans="60:88" x14ac:dyDescent="0.25">
      <c r="BH910" s="21"/>
      <c r="BI910" s="21"/>
      <c r="BJ910" s="21"/>
      <c r="BK910" s="21"/>
      <c r="BL910" s="21"/>
      <c r="BM910" s="21"/>
      <c r="BN910" s="21"/>
      <c r="BO910" s="21"/>
      <c r="BQ910" s="21"/>
      <c r="BR910" s="21"/>
      <c r="BS910" s="21"/>
      <c r="BU910" s="21"/>
      <c r="BX910" s="21"/>
      <c r="CG910" s="21"/>
      <c r="CH910" s="21"/>
      <c r="CI910" s="21"/>
      <c r="CJ910" s="21"/>
    </row>
    <row r="911" spans="60:88" x14ac:dyDescent="0.25">
      <c r="BH911" s="21"/>
      <c r="BI911" s="21"/>
      <c r="BJ911" s="21"/>
      <c r="BK911" s="21"/>
      <c r="BL911" s="21"/>
      <c r="BM911" s="21"/>
      <c r="BN911" s="21"/>
      <c r="BO911" s="21"/>
      <c r="BQ911" s="21"/>
      <c r="BR911" s="21"/>
      <c r="BS911" s="21"/>
      <c r="BU911" s="21"/>
      <c r="BX911" s="21"/>
      <c r="CG911" s="21"/>
      <c r="CH911" s="21"/>
      <c r="CI911" s="21"/>
      <c r="CJ911" s="21"/>
    </row>
    <row r="912" spans="60:88" x14ac:dyDescent="0.25">
      <c r="BH912" s="21"/>
      <c r="BI912" s="21"/>
      <c r="BJ912" s="21"/>
      <c r="BK912" s="21"/>
      <c r="BL912" s="21"/>
      <c r="BM912" s="21"/>
      <c r="BN912" s="21"/>
      <c r="BO912" s="21"/>
      <c r="BQ912" s="21"/>
      <c r="BR912" s="21"/>
      <c r="BS912" s="21"/>
      <c r="BU912" s="21"/>
      <c r="BX912" s="21"/>
      <c r="CG912" s="21"/>
      <c r="CH912" s="21"/>
      <c r="CI912" s="21"/>
      <c r="CJ912" s="21"/>
    </row>
    <row r="913" spans="60:88" x14ac:dyDescent="0.25">
      <c r="BH913" s="21"/>
      <c r="BI913" s="21"/>
      <c r="BJ913" s="21"/>
      <c r="BK913" s="21"/>
      <c r="BL913" s="21"/>
      <c r="BM913" s="21"/>
      <c r="BN913" s="21"/>
      <c r="BO913" s="21"/>
      <c r="BQ913" s="21"/>
      <c r="BR913" s="21"/>
      <c r="BS913" s="21"/>
      <c r="BU913" s="21"/>
      <c r="BX913" s="21"/>
      <c r="CG913" s="21"/>
      <c r="CH913" s="21"/>
      <c r="CI913" s="21"/>
      <c r="CJ913" s="21"/>
    </row>
    <row r="914" spans="60:88" x14ac:dyDescent="0.25">
      <c r="BH914" s="21"/>
      <c r="BI914" s="21"/>
      <c r="BJ914" s="21"/>
      <c r="BK914" s="21"/>
      <c r="BL914" s="21"/>
      <c r="BM914" s="21"/>
      <c r="BN914" s="21"/>
      <c r="BO914" s="21"/>
      <c r="BQ914" s="21"/>
      <c r="BR914" s="21"/>
      <c r="BS914" s="21"/>
      <c r="BU914" s="21"/>
      <c r="BX914" s="21"/>
      <c r="CG914" s="21"/>
      <c r="CH914" s="21"/>
      <c r="CI914" s="21"/>
      <c r="CJ914" s="21"/>
    </row>
    <row r="915" spans="60:88" x14ac:dyDescent="0.25">
      <c r="BH915" s="21"/>
      <c r="BI915" s="21"/>
      <c r="BJ915" s="21"/>
      <c r="BK915" s="21"/>
      <c r="BL915" s="21"/>
      <c r="BM915" s="21"/>
      <c r="BN915" s="21"/>
      <c r="BO915" s="21"/>
      <c r="BQ915" s="21"/>
      <c r="BR915" s="21"/>
      <c r="BS915" s="21"/>
      <c r="BU915" s="21"/>
      <c r="BX915" s="21"/>
      <c r="CG915" s="21"/>
      <c r="CH915" s="21"/>
      <c r="CI915" s="21"/>
      <c r="CJ915" s="21"/>
    </row>
    <row r="916" spans="60:88" x14ac:dyDescent="0.25">
      <c r="BH916" s="21"/>
      <c r="BI916" s="21"/>
      <c r="BJ916" s="21"/>
      <c r="BK916" s="21"/>
      <c r="BL916" s="21"/>
      <c r="BM916" s="21"/>
      <c r="BN916" s="21"/>
      <c r="BO916" s="21"/>
      <c r="BQ916" s="21"/>
      <c r="BR916" s="21"/>
      <c r="BS916" s="21"/>
      <c r="BU916" s="21"/>
      <c r="BX916" s="21"/>
      <c r="CG916" s="21"/>
      <c r="CH916" s="21"/>
      <c r="CI916" s="21"/>
      <c r="CJ916" s="21"/>
    </row>
    <row r="917" spans="60:88" x14ac:dyDescent="0.25">
      <c r="BH917" s="21"/>
      <c r="BI917" s="21"/>
      <c r="BJ917" s="21"/>
      <c r="BK917" s="21"/>
      <c r="BL917" s="21"/>
      <c r="BM917" s="21"/>
      <c r="BN917" s="21"/>
      <c r="BO917" s="21"/>
      <c r="BQ917" s="21"/>
      <c r="BR917" s="21"/>
      <c r="BS917" s="21"/>
      <c r="BU917" s="21"/>
      <c r="BX917" s="21"/>
      <c r="CG917" s="21"/>
      <c r="CH917" s="21"/>
      <c r="CI917" s="21"/>
      <c r="CJ917" s="21"/>
    </row>
    <row r="918" spans="60:88" x14ac:dyDescent="0.25">
      <c r="BH918" s="21"/>
      <c r="BI918" s="21"/>
      <c r="BJ918" s="21"/>
      <c r="BK918" s="21"/>
      <c r="BL918" s="21"/>
      <c r="BM918" s="21"/>
      <c r="BN918" s="21"/>
      <c r="BO918" s="21"/>
      <c r="BQ918" s="21"/>
      <c r="BR918" s="21"/>
      <c r="BS918" s="21"/>
      <c r="BU918" s="21"/>
      <c r="BX918" s="21"/>
      <c r="CG918" s="21"/>
      <c r="CH918" s="21"/>
      <c r="CI918" s="21"/>
      <c r="CJ918" s="21"/>
    </row>
    <row r="919" spans="60:88" x14ac:dyDescent="0.25">
      <c r="BH919" s="21"/>
      <c r="BI919" s="21"/>
      <c r="BJ919" s="21"/>
      <c r="BK919" s="21"/>
      <c r="BL919" s="21"/>
      <c r="BM919" s="21"/>
      <c r="BN919" s="21"/>
      <c r="BO919" s="21"/>
      <c r="BQ919" s="21"/>
      <c r="BR919" s="21"/>
      <c r="BS919" s="21"/>
      <c r="BU919" s="21"/>
      <c r="BX919" s="21"/>
      <c r="CG919" s="21"/>
      <c r="CH919" s="21"/>
      <c r="CI919" s="21"/>
      <c r="CJ919" s="21"/>
    </row>
    <row r="920" spans="60:88" x14ac:dyDescent="0.25">
      <c r="BH920" s="21"/>
      <c r="BI920" s="21"/>
      <c r="BJ920" s="21"/>
      <c r="BK920" s="21"/>
      <c r="BL920" s="21"/>
      <c r="BM920" s="21"/>
      <c r="BN920" s="21"/>
      <c r="BO920" s="21"/>
      <c r="BQ920" s="21"/>
      <c r="BR920" s="21"/>
      <c r="BS920" s="21"/>
      <c r="BU920" s="21"/>
      <c r="BX920" s="21"/>
      <c r="CG920" s="21"/>
      <c r="CH920" s="21"/>
      <c r="CI920" s="21"/>
      <c r="CJ920" s="21"/>
    </row>
    <row r="921" spans="60:88" x14ac:dyDescent="0.25">
      <c r="BH921" s="21"/>
      <c r="BI921" s="21"/>
      <c r="BJ921" s="21"/>
      <c r="BK921" s="21"/>
      <c r="BL921" s="21"/>
      <c r="BM921" s="21"/>
      <c r="BN921" s="21"/>
      <c r="BO921" s="21"/>
      <c r="BQ921" s="21"/>
      <c r="BR921" s="21"/>
      <c r="BS921" s="21"/>
      <c r="BU921" s="21"/>
      <c r="BX921" s="21"/>
      <c r="CG921" s="21"/>
      <c r="CH921" s="21"/>
      <c r="CI921" s="21"/>
      <c r="CJ921" s="21"/>
    </row>
    <row r="922" spans="60:88" x14ac:dyDescent="0.25">
      <c r="BH922" s="21"/>
      <c r="BI922" s="21"/>
      <c r="BJ922" s="21"/>
      <c r="BK922" s="21"/>
      <c r="BL922" s="21"/>
      <c r="BM922" s="21"/>
      <c r="BN922" s="21"/>
      <c r="BO922" s="21"/>
      <c r="BQ922" s="21"/>
      <c r="BR922" s="21"/>
      <c r="BS922" s="21"/>
      <c r="BU922" s="21"/>
      <c r="BX922" s="21"/>
      <c r="CG922" s="21"/>
      <c r="CH922" s="21"/>
      <c r="CI922" s="21"/>
      <c r="CJ922" s="21"/>
    </row>
    <row r="923" spans="60:88" x14ac:dyDescent="0.25">
      <c r="BH923" s="21"/>
      <c r="BI923" s="21"/>
      <c r="BJ923" s="21"/>
      <c r="BK923" s="21"/>
      <c r="BL923" s="21"/>
      <c r="BM923" s="21"/>
      <c r="BN923" s="21"/>
      <c r="BO923" s="21"/>
      <c r="BQ923" s="21"/>
      <c r="BR923" s="21"/>
      <c r="BS923" s="21"/>
      <c r="BU923" s="21"/>
      <c r="BX923" s="21"/>
      <c r="CG923" s="21"/>
      <c r="CH923" s="21"/>
      <c r="CI923" s="21"/>
      <c r="CJ923" s="21"/>
    </row>
    <row r="924" spans="60:88" x14ac:dyDescent="0.25">
      <c r="BH924" s="21"/>
      <c r="BI924" s="21"/>
      <c r="BJ924" s="21"/>
      <c r="BK924" s="21"/>
      <c r="BL924" s="21"/>
      <c r="BM924" s="21"/>
      <c r="BN924" s="21"/>
      <c r="BO924" s="21"/>
      <c r="BQ924" s="21"/>
      <c r="BR924" s="21"/>
      <c r="BS924" s="21"/>
      <c r="BU924" s="21"/>
      <c r="BX924" s="21"/>
      <c r="CG924" s="21"/>
      <c r="CH924" s="21"/>
      <c r="CI924" s="21"/>
      <c r="CJ924" s="21"/>
    </row>
    <row r="925" spans="60:88" x14ac:dyDescent="0.25">
      <c r="BH925" s="21"/>
      <c r="BI925" s="21"/>
      <c r="BJ925" s="21"/>
      <c r="BK925" s="21"/>
      <c r="BL925" s="21"/>
      <c r="BM925" s="21"/>
      <c r="BN925" s="21"/>
      <c r="BO925" s="21"/>
      <c r="BQ925" s="21"/>
      <c r="BR925" s="21"/>
      <c r="BS925" s="21"/>
      <c r="BU925" s="21"/>
      <c r="BX925" s="21"/>
      <c r="CG925" s="21"/>
      <c r="CH925" s="21"/>
      <c r="CI925" s="21"/>
      <c r="CJ925" s="21"/>
    </row>
    <row r="926" spans="60:88" x14ac:dyDescent="0.25">
      <c r="BH926" s="21"/>
      <c r="BI926" s="21"/>
      <c r="BJ926" s="21"/>
      <c r="BK926" s="21"/>
      <c r="BL926" s="21"/>
      <c r="BM926" s="21"/>
      <c r="BN926" s="21"/>
      <c r="BO926" s="21"/>
      <c r="BQ926" s="21"/>
      <c r="BR926" s="21"/>
      <c r="BS926" s="21"/>
      <c r="BU926" s="21"/>
      <c r="BX926" s="21"/>
      <c r="CG926" s="21"/>
      <c r="CH926" s="21"/>
      <c r="CI926" s="21"/>
      <c r="CJ926" s="21"/>
    </row>
    <row r="927" spans="60:88" x14ac:dyDescent="0.25">
      <c r="BH927" s="21"/>
      <c r="BI927" s="21"/>
      <c r="BJ927" s="21"/>
      <c r="BK927" s="21"/>
      <c r="BL927" s="21"/>
      <c r="BM927" s="21"/>
      <c r="BN927" s="21"/>
      <c r="BO927" s="21"/>
      <c r="BQ927" s="21"/>
      <c r="BR927" s="21"/>
      <c r="BS927" s="21"/>
      <c r="BU927" s="21"/>
      <c r="BX927" s="21"/>
      <c r="CG927" s="21"/>
      <c r="CH927" s="21"/>
      <c r="CI927" s="21"/>
      <c r="CJ927" s="21"/>
    </row>
    <row r="928" spans="60:88" x14ac:dyDescent="0.25">
      <c r="BH928" s="21"/>
      <c r="BI928" s="21"/>
      <c r="BJ928" s="21"/>
      <c r="BK928" s="21"/>
      <c r="BL928" s="21"/>
      <c r="BM928" s="21"/>
      <c r="BN928" s="21"/>
      <c r="BO928" s="21"/>
      <c r="BQ928" s="21"/>
      <c r="BR928" s="21"/>
      <c r="BS928" s="21"/>
      <c r="BU928" s="21"/>
      <c r="BX928" s="21"/>
      <c r="CG928" s="21"/>
      <c r="CH928" s="21"/>
      <c r="CI928" s="21"/>
      <c r="CJ928" s="21"/>
    </row>
    <row r="929" spans="60:88" x14ac:dyDescent="0.25">
      <c r="BH929" s="21"/>
      <c r="BI929" s="21"/>
      <c r="BJ929" s="21"/>
      <c r="BK929" s="21"/>
      <c r="BL929" s="21"/>
      <c r="BM929" s="21"/>
      <c r="BN929" s="21"/>
      <c r="BO929" s="21"/>
      <c r="BQ929" s="21"/>
      <c r="BR929" s="21"/>
      <c r="BS929" s="21"/>
      <c r="BU929" s="21"/>
      <c r="BX929" s="21"/>
      <c r="CG929" s="21"/>
      <c r="CH929" s="21"/>
      <c r="CI929" s="21"/>
      <c r="CJ929" s="21"/>
    </row>
    <row r="930" spans="60:88" x14ac:dyDescent="0.25">
      <c r="BH930" s="21"/>
      <c r="BI930" s="21"/>
      <c r="BJ930" s="21"/>
      <c r="BK930" s="21"/>
      <c r="BL930" s="21"/>
      <c r="BM930" s="21"/>
      <c r="BN930" s="21"/>
      <c r="BO930" s="21"/>
      <c r="BQ930" s="21"/>
      <c r="BR930" s="21"/>
      <c r="BS930" s="21"/>
      <c r="BU930" s="21"/>
      <c r="BX930" s="21"/>
      <c r="CG930" s="21"/>
      <c r="CH930" s="21"/>
      <c r="CI930" s="21"/>
      <c r="CJ930" s="21"/>
    </row>
    <row r="931" spans="60:88" x14ac:dyDescent="0.25">
      <c r="BH931" s="21"/>
      <c r="BI931" s="21"/>
      <c r="BJ931" s="21"/>
      <c r="BK931" s="21"/>
      <c r="BL931" s="21"/>
      <c r="BM931" s="21"/>
      <c r="BN931" s="21"/>
      <c r="BO931" s="21"/>
      <c r="BQ931" s="21"/>
      <c r="BR931" s="21"/>
      <c r="BS931" s="21"/>
      <c r="BU931" s="21"/>
      <c r="BX931" s="21"/>
      <c r="CG931" s="21"/>
      <c r="CH931" s="21"/>
      <c r="CI931" s="21"/>
      <c r="CJ931" s="21"/>
    </row>
    <row r="932" spans="60:88" x14ac:dyDescent="0.25">
      <c r="BH932" s="21"/>
      <c r="BI932" s="21"/>
      <c r="BJ932" s="21"/>
      <c r="BK932" s="21"/>
      <c r="BL932" s="21"/>
      <c r="BM932" s="21"/>
      <c r="BN932" s="21"/>
      <c r="BO932" s="21"/>
      <c r="BQ932" s="21"/>
      <c r="BR932" s="21"/>
      <c r="BS932" s="21"/>
      <c r="BU932" s="21"/>
      <c r="BX932" s="21"/>
      <c r="CG932" s="21"/>
      <c r="CH932" s="21"/>
      <c r="CI932" s="21"/>
      <c r="CJ932" s="21"/>
    </row>
    <row r="933" spans="60:88" x14ac:dyDescent="0.25">
      <c r="BH933" s="21"/>
      <c r="BI933" s="21"/>
      <c r="BJ933" s="21"/>
      <c r="BK933" s="21"/>
      <c r="BL933" s="21"/>
      <c r="BM933" s="21"/>
      <c r="BN933" s="21"/>
      <c r="BO933" s="21"/>
      <c r="BQ933" s="21"/>
      <c r="BR933" s="21"/>
      <c r="BS933" s="21"/>
      <c r="BU933" s="21"/>
      <c r="BX933" s="21"/>
      <c r="CG933" s="21"/>
      <c r="CH933" s="21"/>
      <c r="CI933" s="21"/>
      <c r="CJ933" s="21"/>
    </row>
    <row r="934" spans="60:88" x14ac:dyDescent="0.25">
      <c r="BH934" s="21"/>
      <c r="BI934" s="21"/>
      <c r="BJ934" s="21"/>
      <c r="BK934" s="21"/>
      <c r="BL934" s="21"/>
      <c r="BM934" s="21"/>
      <c r="BN934" s="21"/>
      <c r="BO934" s="21"/>
      <c r="BQ934" s="21"/>
      <c r="BR934" s="21"/>
      <c r="BS934" s="21"/>
      <c r="BU934" s="21"/>
      <c r="BX934" s="21"/>
      <c r="CG934" s="21"/>
      <c r="CH934" s="21"/>
      <c r="CI934" s="21"/>
      <c r="CJ934" s="21"/>
    </row>
    <row r="935" spans="60:88" x14ac:dyDescent="0.25">
      <c r="BH935" s="21"/>
      <c r="BI935" s="21"/>
      <c r="BJ935" s="21"/>
      <c r="BK935" s="21"/>
      <c r="BL935" s="21"/>
      <c r="BM935" s="21"/>
      <c r="BN935" s="21"/>
      <c r="BO935" s="21"/>
      <c r="BQ935" s="21"/>
      <c r="BR935" s="21"/>
      <c r="BS935" s="21"/>
      <c r="BU935" s="21"/>
      <c r="BX935" s="21"/>
      <c r="CG935" s="21"/>
      <c r="CH935" s="21"/>
      <c r="CI935" s="21"/>
      <c r="CJ935" s="21"/>
    </row>
    <row r="936" spans="60:88" x14ac:dyDescent="0.25">
      <c r="BH936" s="21"/>
      <c r="BI936" s="21"/>
      <c r="BJ936" s="21"/>
      <c r="BK936" s="21"/>
      <c r="BL936" s="21"/>
      <c r="BM936" s="21"/>
      <c r="BN936" s="21"/>
      <c r="BO936" s="21"/>
      <c r="BQ936" s="21"/>
      <c r="BR936" s="21"/>
      <c r="BS936" s="21"/>
      <c r="BU936" s="21"/>
      <c r="BX936" s="21"/>
      <c r="CG936" s="21"/>
      <c r="CH936" s="21"/>
      <c r="CI936" s="21"/>
      <c r="CJ936" s="21"/>
    </row>
    <row r="937" spans="60:88" x14ac:dyDescent="0.25">
      <c r="BH937" s="21"/>
      <c r="BI937" s="21"/>
      <c r="BJ937" s="21"/>
      <c r="BK937" s="21"/>
      <c r="BL937" s="21"/>
      <c r="BM937" s="21"/>
      <c r="BN937" s="21"/>
      <c r="BO937" s="21"/>
      <c r="BQ937" s="21"/>
      <c r="BR937" s="21"/>
      <c r="BS937" s="21"/>
      <c r="BU937" s="21"/>
      <c r="BX937" s="21"/>
      <c r="CG937" s="21"/>
      <c r="CH937" s="21"/>
      <c r="CI937" s="21"/>
      <c r="CJ937" s="21"/>
    </row>
    <row r="938" spans="60:88" x14ac:dyDescent="0.25">
      <c r="BH938" s="21"/>
      <c r="BI938" s="21"/>
      <c r="BJ938" s="21"/>
      <c r="BK938" s="21"/>
      <c r="BL938" s="21"/>
      <c r="BM938" s="21"/>
      <c r="BN938" s="21"/>
      <c r="BO938" s="21"/>
      <c r="BQ938" s="21"/>
      <c r="BR938" s="21"/>
      <c r="BS938" s="21"/>
      <c r="BU938" s="21"/>
      <c r="BX938" s="21"/>
      <c r="CG938" s="21"/>
      <c r="CH938" s="21"/>
      <c r="CI938" s="21"/>
      <c r="CJ938" s="21"/>
    </row>
    <row r="939" spans="60:88" x14ac:dyDescent="0.25">
      <c r="BH939" s="21"/>
      <c r="BI939" s="21"/>
      <c r="BJ939" s="21"/>
      <c r="BK939" s="21"/>
      <c r="BL939" s="21"/>
      <c r="BM939" s="21"/>
      <c r="BN939" s="21"/>
      <c r="BO939" s="21"/>
      <c r="BQ939" s="21"/>
      <c r="BR939" s="21"/>
      <c r="BS939" s="21"/>
      <c r="BU939" s="21"/>
      <c r="BX939" s="21"/>
      <c r="CG939" s="21"/>
      <c r="CH939" s="21"/>
      <c r="CI939" s="21"/>
      <c r="CJ939" s="21"/>
    </row>
    <row r="940" spans="60:88" x14ac:dyDescent="0.25">
      <c r="BH940" s="21"/>
      <c r="BI940" s="21"/>
      <c r="BJ940" s="21"/>
      <c r="BK940" s="21"/>
      <c r="BL940" s="21"/>
      <c r="BM940" s="21"/>
      <c r="BN940" s="21"/>
      <c r="BO940" s="21"/>
      <c r="BQ940" s="21"/>
      <c r="BR940" s="21"/>
      <c r="BS940" s="21"/>
      <c r="BU940" s="21"/>
      <c r="BX940" s="21"/>
      <c r="CG940" s="21"/>
      <c r="CH940" s="21"/>
      <c r="CI940" s="21"/>
      <c r="CJ940" s="21"/>
    </row>
    <row r="941" spans="60:88" x14ac:dyDescent="0.25">
      <c r="BH941" s="21"/>
      <c r="BI941" s="21"/>
      <c r="BJ941" s="21"/>
      <c r="BK941" s="21"/>
      <c r="BL941" s="21"/>
      <c r="BM941" s="21"/>
      <c r="BN941" s="21"/>
      <c r="BO941" s="21"/>
      <c r="BQ941" s="21"/>
      <c r="BR941" s="21"/>
      <c r="BS941" s="21"/>
      <c r="BU941" s="21"/>
      <c r="BX941" s="21"/>
      <c r="CG941" s="21"/>
      <c r="CH941" s="21"/>
      <c r="CI941" s="21"/>
      <c r="CJ941" s="21"/>
    </row>
    <row r="942" spans="60:88" x14ac:dyDescent="0.25">
      <c r="BH942" s="21"/>
      <c r="BI942" s="21"/>
      <c r="BJ942" s="21"/>
      <c r="BK942" s="21"/>
      <c r="BL942" s="21"/>
      <c r="BM942" s="21"/>
      <c r="BN942" s="21"/>
      <c r="BO942" s="21"/>
      <c r="BQ942" s="21"/>
      <c r="BR942" s="21"/>
      <c r="BS942" s="21"/>
      <c r="BU942" s="21"/>
      <c r="BX942" s="21"/>
      <c r="CG942" s="21"/>
      <c r="CH942" s="21"/>
      <c r="CI942" s="21"/>
      <c r="CJ942" s="21"/>
    </row>
    <row r="943" spans="60:88" x14ac:dyDescent="0.25">
      <c r="BH943" s="21"/>
      <c r="BI943" s="21"/>
      <c r="BJ943" s="21"/>
      <c r="BK943" s="21"/>
      <c r="BL943" s="21"/>
      <c r="BM943" s="21"/>
      <c r="BN943" s="21"/>
      <c r="BO943" s="21"/>
      <c r="BQ943" s="21"/>
      <c r="BR943" s="21"/>
      <c r="BS943" s="21"/>
      <c r="BU943" s="21"/>
      <c r="BX943" s="21"/>
      <c r="CG943" s="21"/>
      <c r="CH943" s="21"/>
      <c r="CI943" s="21"/>
      <c r="CJ943" s="21"/>
    </row>
    <row r="944" spans="60:88" x14ac:dyDescent="0.25">
      <c r="BH944" s="21"/>
      <c r="BI944" s="21"/>
      <c r="BJ944" s="21"/>
      <c r="BK944" s="21"/>
      <c r="BL944" s="21"/>
      <c r="BM944" s="21"/>
      <c r="BN944" s="21"/>
      <c r="BO944" s="21"/>
      <c r="BQ944" s="21"/>
      <c r="BR944" s="21"/>
      <c r="BS944" s="21"/>
      <c r="BU944" s="21"/>
      <c r="BX944" s="21"/>
      <c r="CG944" s="21"/>
      <c r="CH944" s="21"/>
      <c r="CI944" s="21"/>
      <c r="CJ944" s="21"/>
    </row>
    <row r="945" spans="60:88" x14ac:dyDescent="0.25">
      <c r="BH945" s="21"/>
      <c r="BI945" s="21"/>
      <c r="BJ945" s="21"/>
      <c r="BK945" s="21"/>
      <c r="BL945" s="21"/>
      <c r="BM945" s="21"/>
      <c r="BN945" s="21"/>
      <c r="BO945" s="21"/>
      <c r="BQ945" s="21"/>
      <c r="BR945" s="21"/>
      <c r="BS945" s="21"/>
      <c r="BU945" s="21"/>
      <c r="BX945" s="21"/>
      <c r="CG945" s="21"/>
      <c r="CH945" s="21"/>
      <c r="CI945" s="21"/>
      <c r="CJ945" s="21"/>
    </row>
    <row r="946" spans="60:88" x14ac:dyDescent="0.25">
      <c r="BH946" s="21"/>
      <c r="BI946" s="21"/>
      <c r="BJ946" s="21"/>
      <c r="BK946" s="21"/>
      <c r="BL946" s="21"/>
      <c r="BM946" s="21"/>
      <c r="BN946" s="21"/>
      <c r="BO946" s="21"/>
      <c r="BQ946" s="21"/>
      <c r="BR946" s="21"/>
      <c r="BS946" s="21"/>
      <c r="BU946" s="21"/>
      <c r="BX946" s="21"/>
      <c r="CG946" s="21"/>
      <c r="CH946" s="21"/>
      <c r="CI946" s="21"/>
      <c r="CJ946" s="21"/>
    </row>
    <row r="947" spans="60:88" x14ac:dyDescent="0.25">
      <c r="BH947" s="21"/>
      <c r="BI947" s="21"/>
      <c r="BJ947" s="21"/>
      <c r="BK947" s="21"/>
      <c r="BL947" s="21"/>
      <c r="BM947" s="21"/>
      <c r="BN947" s="21"/>
      <c r="BO947" s="21"/>
      <c r="BQ947" s="21"/>
      <c r="BR947" s="21"/>
      <c r="BS947" s="21"/>
      <c r="BU947" s="21"/>
      <c r="BX947" s="21"/>
      <c r="CG947" s="21"/>
      <c r="CH947" s="21"/>
      <c r="CI947" s="21"/>
      <c r="CJ947" s="21"/>
    </row>
    <row r="948" spans="60:88" x14ac:dyDescent="0.25">
      <c r="BH948" s="21"/>
      <c r="BI948" s="21"/>
      <c r="BJ948" s="21"/>
      <c r="BK948" s="21"/>
      <c r="BL948" s="21"/>
      <c r="BM948" s="21"/>
      <c r="BN948" s="21"/>
      <c r="BO948" s="21"/>
      <c r="BQ948" s="21"/>
      <c r="BR948" s="21"/>
      <c r="BS948" s="21"/>
      <c r="BU948" s="21"/>
      <c r="BX948" s="21"/>
      <c r="CG948" s="21"/>
      <c r="CH948" s="21"/>
      <c r="CI948" s="21"/>
      <c r="CJ948" s="21"/>
    </row>
    <row r="949" spans="60:88" x14ac:dyDescent="0.25">
      <c r="BH949" s="21"/>
      <c r="BI949" s="21"/>
      <c r="BJ949" s="21"/>
      <c r="BK949" s="21"/>
      <c r="BL949" s="21"/>
      <c r="BM949" s="21"/>
      <c r="BN949" s="21"/>
      <c r="BO949" s="21"/>
      <c r="BQ949" s="21"/>
      <c r="BR949" s="21"/>
      <c r="BS949" s="21"/>
      <c r="BU949" s="21"/>
      <c r="BX949" s="21"/>
      <c r="CG949" s="21"/>
      <c r="CH949" s="21"/>
      <c r="CI949" s="21"/>
      <c r="CJ949" s="21"/>
    </row>
    <row r="950" spans="60:88" x14ac:dyDescent="0.25">
      <c r="BH950" s="21"/>
      <c r="BI950" s="21"/>
      <c r="BJ950" s="21"/>
      <c r="BK950" s="21"/>
      <c r="BL950" s="21"/>
      <c r="BM950" s="21"/>
      <c r="BN950" s="21"/>
      <c r="BO950" s="21"/>
      <c r="BQ950" s="21"/>
      <c r="BR950" s="21"/>
      <c r="BS950" s="21"/>
      <c r="BU950" s="21"/>
      <c r="BX950" s="21"/>
      <c r="CG950" s="21"/>
      <c r="CH950" s="21"/>
      <c r="CI950" s="21"/>
      <c r="CJ950" s="21"/>
    </row>
    <row r="951" spans="60:88" x14ac:dyDescent="0.25">
      <c r="BH951" s="21"/>
      <c r="BI951" s="21"/>
      <c r="BJ951" s="21"/>
      <c r="BK951" s="21"/>
      <c r="BL951" s="21"/>
      <c r="BM951" s="21"/>
      <c r="BN951" s="21"/>
      <c r="BO951" s="21"/>
      <c r="BQ951" s="21"/>
      <c r="BR951" s="21"/>
      <c r="BS951" s="21"/>
      <c r="BU951" s="21"/>
      <c r="BX951" s="21"/>
      <c r="CG951" s="21"/>
      <c r="CH951" s="21"/>
      <c r="CI951" s="21"/>
      <c r="CJ951" s="21"/>
    </row>
    <row r="952" spans="60:88" x14ac:dyDescent="0.25">
      <c r="BH952" s="21"/>
      <c r="BI952" s="21"/>
      <c r="BJ952" s="21"/>
      <c r="BK952" s="21"/>
      <c r="BL952" s="21"/>
      <c r="BM952" s="21"/>
      <c r="BN952" s="21"/>
      <c r="BO952" s="21"/>
      <c r="BQ952" s="21"/>
      <c r="BR952" s="21"/>
      <c r="BS952" s="21"/>
      <c r="BU952" s="21"/>
      <c r="BX952" s="21"/>
      <c r="CG952" s="21"/>
      <c r="CH952" s="21"/>
      <c r="CI952" s="21"/>
      <c r="CJ952" s="21"/>
    </row>
    <row r="953" spans="60:88" x14ac:dyDescent="0.25">
      <c r="BH953" s="21"/>
      <c r="BI953" s="21"/>
      <c r="BJ953" s="21"/>
      <c r="BK953" s="21"/>
      <c r="BL953" s="21"/>
      <c r="BM953" s="21"/>
      <c r="BN953" s="21"/>
      <c r="BO953" s="21"/>
      <c r="BQ953" s="21"/>
      <c r="BR953" s="21"/>
      <c r="BS953" s="21"/>
      <c r="BU953" s="21"/>
      <c r="BX953" s="21"/>
      <c r="CG953" s="21"/>
      <c r="CH953" s="21"/>
      <c r="CI953" s="21"/>
      <c r="CJ953" s="21"/>
    </row>
    <row r="954" spans="60:88" x14ac:dyDescent="0.25">
      <c r="BH954" s="21"/>
      <c r="BI954" s="21"/>
      <c r="BJ954" s="21"/>
      <c r="BK954" s="21"/>
      <c r="BL954" s="21"/>
      <c r="BM954" s="21"/>
      <c r="BN954" s="21"/>
      <c r="BO954" s="21"/>
      <c r="BQ954" s="21"/>
      <c r="BR954" s="21"/>
      <c r="BS954" s="21"/>
      <c r="BU954" s="21"/>
      <c r="BX954" s="21"/>
      <c r="CG954" s="21"/>
      <c r="CH954" s="21"/>
      <c r="CI954" s="21"/>
      <c r="CJ954" s="21"/>
    </row>
    <row r="955" spans="60:88" x14ac:dyDescent="0.25">
      <c r="BH955" s="21"/>
      <c r="BI955" s="21"/>
      <c r="BJ955" s="21"/>
      <c r="BK955" s="21"/>
      <c r="BL955" s="21"/>
      <c r="BM955" s="21"/>
      <c r="BN955" s="21"/>
      <c r="BO955" s="21"/>
      <c r="BQ955" s="21"/>
      <c r="BR955" s="21"/>
      <c r="BS955" s="21"/>
      <c r="BU955" s="21"/>
      <c r="BX955" s="21"/>
      <c r="CG955" s="21"/>
      <c r="CH955" s="21"/>
      <c r="CI955" s="21"/>
      <c r="CJ955" s="21"/>
    </row>
    <row r="956" spans="60:88" x14ac:dyDescent="0.25">
      <c r="BH956" s="21"/>
      <c r="BI956" s="21"/>
      <c r="BJ956" s="21"/>
      <c r="BK956" s="21"/>
      <c r="BL956" s="21"/>
      <c r="BM956" s="21"/>
      <c r="BN956" s="21"/>
      <c r="BO956" s="21"/>
      <c r="BQ956" s="21"/>
      <c r="BR956" s="21"/>
      <c r="BS956" s="21"/>
      <c r="BU956" s="21"/>
      <c r="BX956" s="21"/>
      <c r="CG956" s="21"/>
      <c r="CH956" s="21"/>
      <c r="CI956" s="21"/>
      <c r="CJ956" s="21"/>
    </row>
    <row r="957" spans="60:88" x14ac:dyDescent="0.25">
      <c r="BH957" s="21"/>
      <c r="BI957" s="21"/>
      <c r="BJ957" s="21"/>
      <c r="BK957" s="21"/>
      <c r="BL957" s="21"/>
      <c r="BM957" s="21"/>
      <c r="BN957" s="21"/>
      <c r="BO957" s="21"/>
      <c r="BQ957" s="21"/>
      <c r="BR957" s="21"/>
      <c r="BS957" s="21"/>
      <c r="BU957" s="21"/>
      <c r="BX957" s="21"/>
      <c r="CG957" s="21"/>
      <c r="CH957" s="21"/>
      <c r="CI957" s="21"/>
      <c r="CJ957" s="21"/>
    </row>
    <row r="958" spans="60:88" x14ac:dyDescent="0.25">
      <c r="BH958" s="21"/>
      <c r="BI958" s="21"/>
      <c r="BJ958" s="21"/>
      <c r="BK958" s="21"/>
      <c r="BL958" s="21"/>
      <c r="BM958" s="21"/>
      <c r="BN958" s="21"/>
      <c r="BO958" s="21"/>
      <c r="BQ958" s="21"/>
      <c r="BR958" s="21"/>
      <c r="BS958" s="21"/>
      <c r="BU958" s="21"/>
      <c r="BX958" s="21"/>
      <c r="CG958" s="21"/>
      <c r="CH958" s="21"/>
      <c r="CI958" s="21"/>
      <c r="CJ958" s="21"/>
    </row>
    <row r="959" spans="60:88" x14ac:dyDescent="0.25">
      <c r="BH959" s="21"/>
      <c r="BI959" s="21"/>
      <c r="BJ959" s="21"/>
      <c r="BK959" s="21"/>
      <c r="BL959" s="21"/>
      <c r="BM959" s="21"/>
      <c r="BN959" s="21"/>
      <c r="BO959" s="21"/>
      <c r="BQ959" s="21"/>
      <c r="BR959" s="21"/>
      <c r="BS959" s="21"/>
      <c r="BU959" s="21"/>
      <c r="BX959" s="21"/>
      <c r="CG959" s="21"/>
      <c r="CH959" s="21"/>
      <c r="CI959" s="21"/>
      <c r="CJ959" s="21"/>
    </row>
    <row r="960" spans="60:88" x14ac:dyDescent="0.25">
      <c r="BH960" s="21"/>
      <c r="BI960" s="21"/>
      <c r="BJ960" s="21"/>
      <c r="BK960" s="21"/>
      <c r="BL960" s="21"/>
      <c r="BM960" s="21"/>
      <c r="BN960" s="21"/>
      <c r="BO960" s="21"/>
      <c r="BQ960" s="21"/>
      <c r="BR960" s="21"/>
      <c r="BS960" s="21"/>
      <c r="BU960" s="21"/>
      <c r="BX960" s="21"/>
      <c r="CG960" s="21"/>
      <c r="CH960" s="21"/>
      <c r="CI960" s="21"/>
      <c r="CJ960" s="21"/>
    </row>
    <row r="961" spans="60:88" x14ac:dyDescent="0.25">
      <c r="BH961" s="21"/>
      <c r="BI961" s="21"/>
      <c r="BJ961" s="21"/>
      <c r="BK961" s="21"/>
      <c r="BL961" s="21"/>
      <c r="BM961" s="21"/>
      <c r="BN961" s="21"/>
      <c r="BO961" s="21"/>
      <c r="BQ961" s="21"/>
      <c r="BR961" s="21"/>
      <c r="BS961" s="21"/>
      <c r="BU961" s="21"/>
      <c r="BX961" s="21"/>
      <c r="CG961" s="21"/>
      <c r="CH961" s="21"/>
      <c r="CI961" s="21"/>
      <c r="CJ961" s="21"/>
    </row>
    <row r="962" spans="60:88" x14ac:dyDescent="0.25">
      <c r="BH962" s="21"/>
      <c r="BI962" s="21"/>
      <c r="BJ962" s="21"/>
      <c r="BK962" s="21"/>
      <c r="BL962" s="21"/>
      <c r="BM962" s="21"/>
      <c r="BN962" s="21"/>
      <c r="BO962" s="21"/>
      <c r="BQ962" s="21"/>
      <c r="BR962" s="21"/>
      <c r="BS962" s="21"/>
      <c r="BU962" s="21"/>
      <c r="BX962" s="21"/>
      <c r="CG962" s="21"/>
      <c r="CH962" s="21"/>
      <c r="CI962" s="21"/>
      <c r="CJ962" s="21"/>
    </row>
    <row r="963" spans="60:88" x14ac:dyDescent="0.25">
      <c r="BH963" s="21"/>
      <c r="BI963" s="21"/>
      <c r="BJ963" s="21"/>
      <c r="BK963" s="21"/>
      <c r="BL963" s="21"/>
      <c r="BM963" s="21"/>
      <c r="BN963" s="21"/>
      <c r="BO963" s="21"/>
      <c r="BQ963" s="21"/>
      <c r="BR963" s="21"/>
      <c r="BS963" s="21"/>
      <c r="BU963" s="21"/>
      <c r="BX963" s="21"/>
      <c r="CG963" s="21"/>
      <c r="CH963" s="21"/>
      <c r="CI963" s="21"/>
      <c r="CJ963" s="21"/>
    </row>
    <row r="964" spans="60:88" x14ac:dyDescent="0.25">
      <c r="BH964" s="21"/>
      <c r="BI964" s="21"/>
      <c r="BJ964" s="21"/>
      <c r="BK964" s="21"/>
      <c r="BL964" s="21"/>
      <c r="BM964" s="21"/>
      <c r="BN964" s="21"/>
      <c r="BO964" s="21"/>
      <c r="BQ964" s="21"/>
      <c r="BR964" s="21"/>
      <c r="BS964" s="21"/>
      <c r="BU964" s="21"/>
      <c r="BX964" s="21"/>
      <c r="CG964" s="21"/>
      <c r="CH964" s="21"/>
      <c r="CI964" s="21"/>
      <c r="CJ964" s="21"/>
    </row>
    <row r="965" spans="60:88" x14ac:dyDescent="0.25">
      <c r="BH965" s="21"/>
      <c r="BI965" s="21"/>
      <c r="BJ965" s="21"/>
      <c r="BK965" s="21"/>
      <c r="BL965" s="21"/>
      <c r="BM965" s="21"/>
      <c r="BN965" s="21"/>
      <c r="BO965" s="21"/>
      <c r="BQ965" s="21"/>
      <c r="BR965" s="21"/>
      <c r="BS965" s="21"/>
      <c r="BU965" s="21"/>
      <c r="BX965" s="21"/>
      <c r="CG965" s="21"/>
      <c r="CH965" s="21"/>
      <c r="CI965" s="21"/>
      <c r="CJ965" s="21"/>
    </row>
    <row r="966" spans="60:88" x14ac:dyDescent="0.25">
      <c r="BH966" s="21"/>
      <c r="BI966" s="21"/>
      <c r="BJ966" s="21"/>
      <c r="BK966" s="21"/>
      <c r="BL966" s="21"/>
      <c r="BM966" s="21"/>
      <c r="BN966" s="21"/>
      <c r="BO966" s="21"/>
      <c r="BQ966" s="21"/>
      <c r="BR966" s="21"/>
      <c r="BS966" s="21"/>
      <c r="BU966" s="21"/>
      <c r="BX966" s="21"/>
      <c r="CG966" s="21"/>
      <c r="CH966" s="21"/>
      <c r="CI966" s="21"/>
      <c r="CJ966" s="21"/>
    </row>
    <row r="967" spans="60:88" x14ac:dyDescent="0.25">
      <c r="BH967" s="21"/>
      <c r="BI967" s="21"/>
      <c r="BJ967" s="21"/>
      <c r="BK967" s="21"/>
      <c r="BL967" s="21"/>
      <c r="BM967" s="21"/>
      <c r="BN967" s="21"/>
      <c r="BO967" s="21"/>
      <c r="BQ967" s="21"/>
      <c r="BR967" s="21"/>
      <c r="BS967" s="21"/>
      <c r="BU967" s="21"/>
      <c r="BX967" s="21"/>
      <c r="CG967" s="21"/>
      <c r="CH967" s="21"/>
      <c r="CI967" s="21"/>
      <c r="CJ967" s="21"/>
    </row>
    <row r="968" spans="60:88" x14ac:dyDescent="0.25">
      <c r="BH968" s="21"/>
      <c r="BI968" s="21"/>
      <c r="BJ968" s="21"/>
      <c r="BK968" s="21"/>
      <c r="BL968" s="21"/>
      <c r="BM968" s="21"/>
      <c r="BN968" s="21"/>
      <c r="BO968" s="21"/>
      <c r="BQ968" s="21"/>
      <c r="BR968" s="21"/>
      <c r="BS968" s="21"/>
      <c r="BU968" s="21"/>
      <c r="BX968" s="21"/>
      <c r="CG968" s="21"/>
      <c r="CH968" s="21"/>
      <c r="CI968" s="21"/>
      <c r="CJ968" s="21"/>
    </row>
    <row r="969" spans="60:88" x14ac:dyDescent="0.25">
      <c r="BH969" s="21"/>
      <c r="BI969" s="21"/>
      <c r="BJ969" s="21"/>
      <c r="BK969" s="21"/>
      <c r="BL969" s="21"/>
      <c r="BM969" s="21"/>
      <c r="BN969" s="21"/>
      <c r="BO969" s="21"/>
      <c r="BQ969" s="21"/>
      <c r="BR969" s="21"/>
      <c r="BS969" s="21"/>
      <c r="BU969" s="21"/>
      <c r="BX969" s="21"/>
      <c r="CG969" s="21"/>
      <c r="CH969" s="21"/>
      <c r="CI969" s="21"/>
      <c r="CJ969" s="21"/>
    </row>
    <row r="970" spans="60:88" x14ac:dyDescent="0.25">
      <c r="BH970" s="21"/>
      <c r="BI970" s="21"/>
      <c r="BJ970" s="21"/>
      <c r="BK970" s="21"/>
      <c r="BL970" s="21"/>
      <c r="BM970" s="21"/>
      <c r="BN970" s="21"/>
      <c r="BO970" s="21"/>
      <c r="BQ970" s="21"/>
      <c r="BR970" s="21"/>
      <c r="BS970" s="21"/>
      <c r="BU970" s="21"/>
      <c r="BX970" s="21"/>
      <c r="CG970" s="21"/>
      <c r="CH970" s="21"/>
      <c r="CI970" s="21"/>
      <c r="CJ970" s="21"/>
    </row>
    <row r="971" spans="60:88" x14ac:dyDescent="0.25">
      <c r="BH971" s="21"/>
      <c r="BI971" s="21"/>
      <c r="BJ971" s="21"/>
      <c r="BK971" s="21"/>
      <c r="BL971" s="21"/>
      <c r="BM971" s="21"/>
      <c r="BN971" s="21"/>
      <c r="BO971" s="21"/>
      <c r="BQ971" s="21"/>
      <c r="BR971" s="21"/>
      <c r="BS971" s="21"/>
      <c r="BU971" s="21"/>
      <c r="BX971" s="21"/>
      <c r="CG971" s="21"/>
      <c r="CH971" s="21"/>
      <c r="CI971" s="21"/>
      <c r="CJ971" s="21"/>
    </row>
    <row r="972" spans="60:88" x14ac:dyDescent="0.25">
      <c r="BH972" s="21"/>
      <c r="BI972" s="21"/>
      <c r="BJ972" s="21"/>
      <c r="BK972" s="21"/>
      <c r="BL972" s="21"/>
      <c r="BM972" s="21"/>
      <c r="BN972" s="21"/>
      <c r="BO972" s="21"/>
      <c r="BQ972" s="21"/>
      <c r="BR972" s="21"/>
      <c r="BS972" s="21"/>
      <c r="BU972" s="21"/>
      <c r="BX972" s="21"/>
      <c r="CG972" s="21"/>
      <c r="CH972" s="21"/>
      <c r="CI972" s="21"/>
      <c r="CJ972" s="21"/>
    </row>
    <row r="973" spans="60:88" x14ac:dyDescent="0.25">
      <c r="BH973" s="21"/>
      <c r="BI973" s="21"/>
      <c r="BJ973" s="21"/>
      <c r="BK973" s="21"/>
      <c r="BL973" s="21"/>
      <c r="BM973" s="21"/>
      <c r="BN973" s="21"/>
      <c r="BO973" s="21"/>
      <c r="BQ973" s="21"/>
      <c r="BR973" s="21"/>
      <c r="BS973" s="21"/>
      <c r="BU973" s="21"/>
      <c r="BX973" s="21"/>
      <c r="CG973" s="21"/>
      <c r="CH973" s="21"/>
      <c r="CI973" s="21"/>
      <c r="CJ973" s="21"/>
    </row>
    <row r="974" spans="60:88" x14ac:dyDescent="0.25">
      <c r="BH974" s="21"/>
      <c r="BI974" s="21"/>
      <c r="BJ974" s="21"/>
      <c r="BK974" s="21"/>
      <c r="BL974" s="21"/>
      <c r="BM974" s="21"/>
      <c r="BN974" s="21"/>
      <c r="BO974" s="21"/>
      <c r="BQ974" s="21"/>
      <c r="BR974" s="21"/>
      <c r="BS974" s="21"/>
      <c r="BU974" s="21"/>
      <c r="BX974" s="21"/>
      <c r="CG974" s="21"/>
      <c r="CH974" s="21"/>
      <c r="CI974" s="21"/>
      <c r="CJ974" s="21"/>
    </row>
    <row r="975" spans="60:88" x14ac:dyDescent="0.25">
      <c r="BH975" s="21"/>
      <c r="BI975" s="21"/>
      <c r="BJ975" s="21"/>
      <c r="BK975" s="21"/>
      <c r="BL975" s="21"/>
      <c r="BM975" s="21"/>
      <c r="BN975" s="21"/>
      <c r="BO975" s="21"/>
      <c r="BQ975" s="21"/>
      <c r="BR975" s="21"/>
      <c r="BS975" s="21"/>
      <c r="BU975" s="21"/>
      <c r="BX975" s="21"/>
      <c r="CG975" s="21"/>
      <c r="CH975" s="21"/>
      <c r="CI975" s="21"/>
      <c r="CJ975" s="21"/>
    </row>
    <row r="976" spans="60:88" x14ac:dyDescent="0.25">
      <c r="BH976" s="21"/>
      <c r="BI976" s="21"/>
      <c r="BJ976" s="21"/>
      <c r="BK976" s="21"/>
      <c r="BL976" s="21"/>
      <c r="BM976" s="21"/>
      <c r="BN976" s="21"/>
      <c r="BO976" s="21"/>
      <c r="BQ976" s="21"/>
      <c r="BR976" s="21"/>
      <c r="BS976" s="21"/>
      <c r="BU976" s="21"/>
      <c r="BX976" s="21"/>
      <c r="CG976" s="21"/>
      <c r="CH976" s="21"/>
      <c r="CI976" s="21"/>
      <c r="CJ976" s="21"/>
    </row>
    <row r="977" spans="60:88" x14ac:dyDescent="0.25">
      <c r="BH977" s="21"/>
      <c r="BI977" s="21"/>
      <c r="BJ977" s="21"/>
      <c r="BK977" s="21"/>
      <c r="BL977" s="21"/>
      <c r="BM977" s="21"/>
      <c r="BN977" s="21"/>
      <c r="BO977" s="21"/>
      <c r="BQ977" s="21"/>
      <c r="BR977" s="21"/>
      <c r="BS977" s="21"/>
      <c r="BU977" s="21"/>
      <c r="BX977" s="21"/>
      <c r="CG977" s="21"/>
      <c r="CH977" s="21"/>
      <c r="CI977" s="21"/>
      <c r="CJ977" s="21"/>
    </row>
    <row r="978" spans="60:88" x14ac:dyDescent="0.25">
      <c r="BH978" s="21"/>
      <c r="BI978" s="21"/>
      <c r="BJ978" s="21"/>
      <c r="BK978" s="21"/>
      <c r="BL978" s="21"/>
      <c r="BM978" s="21"/>
      <c r="BN978" s="21"/>
      <c r="BO978" s="21"/>
      <c r="BQ978" s="21"/>
      <c r="BR978" s="21"/>
      <c r="BS978" s="21"/>
      <c r="BU978" s="21"/>
      <c r="BX978" s="21"/>
      <c r="CG978" s="21"/>
      <c r="CH978" s="21"/>
      <c r="CI978" s="21"/>
      <c r="CJ978" s="21"/>
    </row>
    <row r="979" spans="60:88" x14ac:dyDescent="0.25">
      <c r="BH979" s="21"/>
      <c r="BI979" s="21"/>
      <c r="BJ979" s="21"/>
      <c r="BK979" s="21"/>
      <c r="BL979" s="21"/>
      <c r="BM979" s="21"/>
      <c r="BN979" s="21"/>
      <c r="BO979" s="21"/>
      <c r="BQ979" s="21"/>
      <c r="BR979" s="21"/>
      <c r="BS979" s="21"/>
      <c r="BU979" s="21"/>
      <c r="BX979" s="21"/>
      <c r="CG979" s="21"/>
      <c r="CH979" s="21"/>
      <c r="CI979" s="21"/>
      <c r="CJ979" s="21"/>
    </row>
    <row r="980" spans="60:88" x14ac:dyDescent="0.25">
      <c r="BH980" s="21"/>
      <c r="BI980" s="21"/>
      <c r="BJ980" s="21"/>
      <c r="BK980" s="21"/>
      <c r="BL980" s="21"/>
      <c r="BM980" s="21"/>
      <c r="BN980" s="21"/>
      <c r="BO980" s="21"/>
      <c r="BQ980" s="21"/>
      <c r="BR980" s="21"/>
      <c r="BS980" s="21"/>
      <c r="BU980" s="21"/>
      <c r="BX980" s="21"/>
      <c r="CG980" s="21"/>
      <c r="CH980" s="21"/>
      <c r="CI980" s="21"/>
      <c r="CJ980" s="21"/>
    </row>
    <row r="981" spans="60:88" x14ac:dyDescent="0.25">
      <c r="BH981" s="21"/>
      <c r="BI981" s="21"/>
      <c r="BJ981" s="21"/>
      <c r="BK981" s="21"/>
      <c r="BL981" s="21"/>
      <c r="BM981" s="21"/>
      <c r="BN981" s="21"/>
      <c r="BO981" s="21"/>
      <c r="BQ981" s="21"/>
      <c r="BR981" s="21"/>
      <c r="BS981" s="21"/>
      <c r="BU981" s="21"/>
      <c r="BX981" s="21"/>
      <c r="CG981" s="21"/>
      <c r="CH981" s="21"/>
      <c r="CI981" s="21"/>
      <c r="CJ981" s="21"/>
    </row>
    <row r="982" spans="60:88" x14ac:dyDescent="0.25">
      <c r="BH982" s="21"/>
      <c r="BI982" s="21"/>
      <c r="BJ982" s="21"/>
      <c r="BK982" s="21"/>
      <c r="BL982" s="21"/>
      <c r="BM982" s="21"/>
      <c r="BN982" s="21"/>
      <c r="BO982" s="21"/>
      <c r="BQ982" s="21"/>
      <c r="BR982" s="21"/>
      <c r="BS982" s="21"/>
      <c r="BU982" s="21"/>
      <c r="BX982" s="21"/>
      <c r="CG982" s="21"/>
      <c r="CH982" s="21"/>
      <c r="CI982" s="21"/>
      <c r="CJ982" s="21"/>
    </row>
    <row r="983" spans="60:88" x14ac:dyDescent="0.25">
      <c r="BH983" s="21"/>
      <c r="BI983" s="21"/>
      <c r="BJ983" s="21"/>
      <c r="BK983" s="21"/>
      <c r="BL983" s="21"/>
      <c r="BM983" s="21"/>
      <c r="BN983" s="21"/>
      <c r="BO983" s="21"/>
      <c r="BQ983" s="21"/>
      <c r="BR983" s="21"/>
      <c r="BS983" s="21"/>
      <c r="BU983" s="21"/>
      <c r="BX983" s="21"/>
      <c r="CG983" s="21"/>
      <c r="CH983" s="21"/>
      <c r="CI983" s="21"/>
      <c r="CJ983" s="21"/>
    </row>
    <row r="984" spans="60:88" x14ac:dyDescent="0.25">
      <c r="BH984" s="21"/>
      <c r="BI984" s="21"/>
      <c r="BJ984" s="21"/>
      <c r="BK984" s="21"/>
      <c r="BL984" s="21"/>
      <c r="BM984" s="21"/>
      <c r="BN984" s="21"/>
      <c r="BO984" s="21"/>
      <c r="BQ984" s="21"/>
      <c r="BR984" s="21"/>
      <c r="BS984" s="21"/>
      <c r="BU984" s="21"/>
      <c r="BX984" s="21"/>
      <c r="CG984" s="21"/>
      <c r="CH984" s="21"/>
      <c r="CI984" s="21"/>
      <c r="CJ984" s="21"/>
    </row>
    <row r="985" spans="60:88" x14ac:dyDescent="0.25">
      <c r="BH985" s="21"/>
      <c r="BI985" s="21"/>
      <c r="BJ985" s="21"/>
      <c r="BK985" s="21"/>
      <c r="BL985" s="21"/>
      <c r="BM985" s="21"/>
      <c r="BN985" s="21"/>
      <c r="BO985" s="21"/>
      <c r="BQ985" s="21"/>
      <c r="BR985" s="21"/>
      <c r="BS985" s="21"/>
      <c r="BU985" s="21"/>
      <c r="BX985" s="21"/>
      <c r="CG985" s="21"/>
      <c r="CH985" s="21"/>
      <c r="CI985" s="21"/>
      <c r="CJ985" s="21"/>
    </row>
    <row r="986" spans="60:88" x14ac:dyDescent="0.25">
      <c r="BH986" s="21"/>
      <c r="BI986" s="21"/>
      <c r="BJ986" s="21"/>
      <c r="BK986" s="21"/>
      <c r="BL986" s="21"/>
      <c r="BM986" s="21"/>
      <c r="BN986" s="21"/>
      <c r="BO986" s="21"/>
      <c r="BQ986" s="21"/>
      <c r="BR986" s="21"/>
      <c r="BS986" s="21"/>
      <c r="BU986" s="21"/>
      <c r="BX986" s="21"/>
      <c r="CG986" s="21"/>
      <c r="CH986" s="21"/>
      <c r="CI986" s="21"/>
      <c r="CJ986" s="21"/>
    </row>
    <row r="987" spans="60:88" x14ac:dyDescent="0.25">
      <c r="BH987" s="21"/>
      <c r="BI987" s="21"/>
      <c r="BJ987" s="21"/>
      <c r="BK987" s="21"/>
      <c r="BL987" s="21"/>
      <c r="BM987" s="21"/>
      <c r="BN987" s="21"/>
      <c r="BO987" s="21"/>
      <c r="BQ987" s="21"/>
      <c r="BR987" s="21"/>
      <c r="BS987" s="21"/>
      <c r="BU987" s="21"/>
      <c r="BX987" s="21"/>
      <c r="CG987" s="21"/>
      <c r="CH987" s="21"/>
      <c r="CI987" s="21"/>
      <c r="CJ987" s="21"/>
    </row>
    <row r="988" spans="60:88" x14ac:dyDescent="0.25">
      <c r="BH988" s="21"/>
      <c r="BI988" s="21"/>
      <c r="BJ988" s="21"/>
      <c r="BK988" s="21"/>
      <c r="BL988" s="21"/>
      <c r="BM988" s="21"/>
      <c r="BN988" s="21"/>
      <c r="BO988" s="21"/>
      <c r="BQ988" s="21"/>
      <c r="BR988" s="21"/>
      <c r="BS988" s="21"/>
      <c r="BU988" s="21"/>
      <c r="BX988" s="21"/>
      <c r="CG988" s="21"/>
      <c r="CH988" s="21"/>
      <c r="CI988" s="21"/>
      <c r="CJ988" s="21"/>
    </row>
    <row r="989" spans="60:88" x14ac:dyDescent="0.25">
      <c r="BH989" s="21"/>
      <c r="BI989" s="21"/>
      <c r="BJ989" s="21"/>
      <c r="BK989" s="21"/>
      <c r="BL989" s="21"/>
      <c r="BM989" s="21"/>
      <c r="BN989" s="21"/>
      <c r="BO989" s="21"/>
      <c r="BQ989" s="21"/>
      <c r="BR989" s="21"/>
      <c r="BS989" s="21"/>
      <c r="BU989" s="21"/>
      <c r="BX989" s="21"/>
      <c r="CG989" s="21"/>
      <c r="CH989" s="21"/>
      <c r="CI989" s="21"/>
      <c r="CJ989" s="21"/>
    </row>
    <row r="990" spans="60:88" x14ac:dyDescent="0.25">
      <c r="BH990" s="21"/>
      <c r="BI990" s="21"/>
      <c r="BJ990" s="21"/>
      <c r="BK990" s="21"/>
      <c r="BL990" s="21"/>
      <c r="BM990" s="21"/>
      <c r="BN990" s="21"/>
      <c r="BO990" s="21"/>
      <c r="BQ990" s="21"/>
      <c r="BR990" s="21"/>
      <c r="BS990" s="21"/>
      <c r="BU990" s="21"/>
      <c r="BX990" s="21"/>
      <c r="CG990" s="21"/>
      <c r="CH990" s="21"/>
      <c r="CI990" s="21"/>
      <c r="CJ990" s="21"/>
    </row>
    <row r="991" spans="60:88" x14ac:dyDescent="0.25">
      <c r="BH991" s="21"/>
      <c r="BI991" s="21"/>
      <c r="BJ991" s="21"/>
      <c r="BK991" s="21"/>
      <c r="BL991" s="21"/>
      <c r="BM991" s="21"/>
      <c r="BN991" s="21"/>
      <c r="BO991" s="21"/>
      <c r="BQ991" s="21"/>
      <c r="BR991" s="21"/>
      <c r="BS991" s="21"/>
      <c r="BU991" s="21"/>
      <c r="BX991" s="21"/>
      <c r="CG991" s="21"/>
      <c r="CH991" s="21"/>
      <c r="CI991" s="21"/>
      <c r="CJ991" s="21"/>
    </row>
    <row r="992" spans="60:88" x14ac:dyDescent="0.25">
      <c r="BH992" s="21"/>
      <c r="BI992" s="21"/>
      <c r="BJ992" s="21"/>
      <c r="BK992" s="21"/>
      <c r="BL992" s="21"/>
      <c r="BM992" s="21"/>
      <c r="BN992" s="21"/>
      <c r="BO992" s="21"/>
      <c r="BQ992" s="21"/>
      <c r="BR992" s="21"/>
      <c r="BS992" s="21"/>
      <c r="BU992" s="21"/>
      <c r="BX992" s="21"/>
      <c r="CG992" s="21"/>
      <c r="CH992" s="21"/>
      <c r="CI992" s="21"/>
      <c r="CJ992" s="21"/>
    </row>
    <row r="993" spans="60:88" x14ac:dyDescent="0.25">
      <c r="BH993" s="21"/>
      <c r="BI993" s="21"/>
      <c r="BJ993" s="21"/>
      <c r="BK993" s="21"/>
      <c r="BL993" s="21"/>
      <c r="BM993" s="21"/>
      <c r="BN993" s="21"/>
      <c r="BO993" s="21"/>
      <c r="BQ993" s="21"/>
      <c r="BR993" s="21"/>
      <c r="BS993" s="21"/>
      <c r="BU993" s="21"/>
      <c r="BX993" s="21"/>
      <c r="CG993" s="21"/>
      <c r="CH993" s="21"/>
      <c r="CI993" s="21"/>
      <c r="CJ993" s="21"/>
    </row>
    <row r="994" spans="60:88" x14ac:dyDescent="0.25">
      <c r="BH994" s="21"/>
      <c r="BI994" s="21"/>
      <c r="BJ994" s="21"/>
      <c r="BK994" s="21"/>
      <c r="BL994" s="21"/>
      <c r="BM994" s="21"/>
      <c r="BN994" s="21"/>
      <c r="BO994" s="21"/>
      <c r="BQ994" s="21"/>
      <c r="BR994" s="21"/>
      <c r="BS994" s="21"/>
      <c r="BU994" s="21"/>
      <c r="BX994" s="21"/>
      <c r="CG994" s="21"/>
      <c r="CH994" s="21"/>
      <c r="CI994" s="21"/>
      <c r="CJ994" s="21"/>
    </row>
    <row r="995" spans="60:88" x14ac:dyDescent="0.25">
      <c r="BH995" s="21"/>
      <c r="BI995" s="21"/>
      <c r="BJ995" s="21"/>
      <c r="BK995" s="21"/>
      <c r="BL995" s="21"/>
      <c r="BM995" s="21"/>
      <c r="BN995" s="21"/>
      <c r="BO995" s="21"/>
      <c r="BQ995" s="21"/>
      <c r="BR995" s="21"/>
      <c r="BS995" s="21"/>
      <c r="BU995" s="21"/>
      <c r="BX995" s="21"/>
      <c r="CG995" s="21"/>
      <c r="CH995" s="21"/>
      <c r="CI995" s="21"/>
      <c r="CJ995" s="21"/>
    </row>
    <row r="996" spans="60:88" x14ac:dyDescent="0.25">
      <c r="BH996" s="21"/>
      <c r="BI996" s="21"/>
      <c r="BJ996" s="21"/>
      <c r="BK996" s="21"/>
      <c r="BL996" s="21"/>
      <c r="BM996" s="21"/>
      <c r="BN996" s="21"/>
      <c r="BO996" s="21"/>
      <c r="BQ996" s="21"/>
      <c r="BR996" s="21"/>
      <c r="BS996" s="21"/>
      <c r="BU996" s="21"/>
      <c r="BX996" s="21"/>
      <c r="CG996" s="21"/>
      <c r="CH996" s="21"/>
      <c r="CI996" s="21"/>
      <c r="CJ996" s="21"/>
    </row>
    <row r="997" spans="60:88" x14ac:dyDescent="0.25">
      <c r="BH997" s="21"/>
      <c r="BI997" s="21"/>
      <c r="BJ997" s="21"/>
      <c r="BK997" s="21"/>
      <c r="BL997" s="21"/>
      <c r="BM997" s="21"/>
      <c r="BN997" s="21"/>
      <c r="BO997" s="21"/>
      <c r="BQ997" s="21"/>
      <c r="BR997" s="21"/>
      <c r="BS997" s="21"/>
      <c r="BU997" s="21"/>
      <c r="BX997" s="21"/>
      <c r="CG997" s="21"/>
      <c r="CH997" s="21"/>
      <c r="CI997" s="21"/>
      <c r="CJ997" s="21"/>
    </row>
    <row r="998" spans="60:88" x14ac:dyDescent="0.25">
      <c r="BH998" s="21"/>
      <c r="BI998" s="21"/>
      <c r="BJ998" s="21"/>
      <c r="BK998" s="21"/>
      <c r="BL998" s="21"/>
      <c r="BM998" s="21"/>
      <c r="BN998" s="21"/>
      <c r="BO998" s="21"/>
      <c r="BQ998" s="21"/>
      <c r="BR998" s="21"/>
      <c r="BS998" s="21"/>
      <c r="BU998" s="21"/>
      <c r="BX998" s="21"/>
      <c r="CG998" s="21"/>
      <c r="CH998" s="21"/>
      <c r="CI998" s="21"/>
      <c r="CJ998" s="21"/>
    </row>
    <row r="999" spans="60:88" x14ac:dyDescent="0.25">
      <c r="BH999" s="21"/>
      <c r="BI999" s="21"/>
      <c r="BJ999" s="21"/>
      <c r="BK999" s="21"/>
      <c r="BL999" s="21"/>
      <c r="BM999" s="21"/>
      <c r="BN999" s="21"/>
      <c r="BO999" s="21"/>
      <c r="BQ999" s="21"/>
      <c r="BR999" s="21"/>
      <c r="BS999" s="21"/>
      <c r="BU999" s="21"/>
      <c r="BX999" s="21"/>
      <c r="CG999" s="21"/>
      <c r="CH999" s="21"/>
      <c r="CI999" s="21"/>
      <c r="CJ999" s="21"/>
    </row>
    <row r="1000" spans="60:88" x14ac:dyDescent="0.25">
      <c r="BH1000" s="21"/>
      <c r="BI1000" s="21"/>
      <c r="BJ1000" s="21"/>
      <c r="BK1000" s="21"/>
      <c r="BL1000" s="21"/>
      <c r="BM1000" s="21"/>
      <c r="BN1000" s="21"/>
      <c r="BO1000" s="21"/>
      <c r="BQ1000" s="21"/>
      <c r="BR1000" s="21"/>
      <c r="BS1000" s="21"/>
      <c r="BU1000" s="21"/>
      <c r="BX1000" s="21"/>
      <c r="CG1000" s="21"/>
      <c r="CH1000" s="21"/>
      <c r="CI1000" s="21"/>
      <c r="CJ1000" s="21"/>
    </row>
    <row r="1001" spans="60:88" x14ac:dyDescent="0.25">
      <c r="BH1001" s="21"/>
      <c r="BI1001" s="21"/>
      <c r="BJ1001" s="21"/>
      <c r="BK1001" s="21"/>
      <c r="BL1001" s="21"/>
      <c r="BM1001" s="21"/>
      <c r="BN1001" s="21"/>
      <c r="BO1001" s="21"/>
      <c r="BQ1001" s="21"/>
      <c r="BR1001" s="21"/>
      <c r="BS1001" s="21"/>
      <c r="BU1001" s="21"/>
      <c r="BX1001" s="21"/>
      <c r="CG1001" s="21"/>
      <c r="CH1001" s="21"/>
      <c r="CI1001" s="21"/>
      <c r="CJ1001" s="21"/>
    </row>
    <row r="1002" spans="60:88" x14ac:dyDescent="0.25">
      <c r="BH1002" s="21"/>
      <c r="BI1002" s="21"/>
      <c r="BJ1002" s="21"/>
      <c r="BK1002" s="21"/>
      <c r="BL1002" s="21"/>
      <c r="BM1002" s="21"/>
      <c r="BN1002" s="21"/>
      <c r="BO1002" s="21"/>
      <c r="BQ1002" s="21"/>
      <c r="BR1002" s="21"/>
      <c r="BS1002" s="21"/>
      <c r="BU1002" s="21"/>
      <c r="BX1002" s="21"/>
      <c r="CG1002" s="21"/>
      <c r="CH1002" s="21"/>
      <c r="CI1002" s="21"/>
      <c r="CJ1002" s="21"/>
    </row>
    <row r="1003" spans="60:88" x14ac:dyDescent="0.25">
      <c r="BH1003" s="21"/>
      <c r="BI1003" s="21"/>
      <c r="BJ1003" s="21"/>
      <c r="BK1003" s="21"/>
      <c r="BL1003" s="21"/>
      <c r="BM1003" s="21"/>
      <c r="BN1003" s="21"/>
      <c r="BO1003" s="21"/>
      <c r="BQ1003" s="21"/>
      <c r="BR1003" s="21"/>
      <c r="BS1003" s="21"/>
      <c r="BU1003" s="21"/>
      <c r="BX1003" s="21"/>
      <c r="CG1003" s="21"/>
      <c r="CH1003" s="21"/>
      <c r="CI1003" s="21"/>
      <c r="CJ1003" s="21"/>
    </row>
    <row r="1004" spans="60:88" x14ac:dyDescent="0.25">
      <c r="BH1004" s="21"/>
      <c r="BI1004" s="21"/>
      <c r="BJ1004" s="21"/>
      <c r="BK1004" s="21"/>
      <c r="BL1004" s="21"/>
      <c r="BM1004" s="21"/>
      <c r="BN1004" s="21"/>
      <c r="BO1004" s="21"/>
      <c r="BQ1004" s="21"/>
      <c r="BR1004" s="21"/>
      <c r="BS1004" s="21"/>
      <c r="BU1004" s="21"/>
      <c r="BX1004" s="21"/>
      <c r="CG1004" s="21"/>
      <c r="CH1004" s="21"/>
      <c r="CI1004" s="21"/>
      <c r="CJ1004" s="21"/>
    </row>
    <row r="1005" spans="60:88" x14ac:dyDescent="0.25">
      <c r="BH1005" s="21"/>
      <c r="BI1005" s="21"/>
      <c r="BJ1005" s="21"/>
      <c r="BK1005" s="21"/>
      <c r="BL1005" s="21"/>
      <c r="BM1005" s="21"/>
      <c r="BN1005" s="21"/>
      <c r="BO1005" s="21"/>
      <c r="BQ1005" s="21"/>
      <c r="BR1005" s="21"/>
      <c r="BS1005" s="21"/>
      <c r="BU1005" s="21"/>
      <c r="BX1005" s="21"/>
      <c r="CG1005" s="21"/>
      <c r="CH1005" s="21"/>
      <c r="CI1005" s="21"/>
      <c r="CJ1005" s="21"/>
    </row>
    <row r="1006" spans="60:88" x14ac:dyDescent="0.25">
      <c r="BH1006" s="21"/>
      <c r="BI1006" s="21"/>
      <c r="BJ1006" s="21"/>
      <c r="BK1006" s="21"/>
      <c r="BL1006" s="21"/>
      <c r="BM1006" s="21"/>
      <c r="BN1006" s="21"/>
      <c r="BO1006" s="21"/>
      <c r="BQ1006" s="21"/>
      <c r="BR1006" s="21"/>
      <c r="BS1006" s="21"/>
      <c r="BU1006" s="21"/>
      <c r="BX1006" s="21"/>
      <c r="CG1006" s="21"/>
      <c r="CH1006" s="21"/>
      <c r="CI1006" s="21"/>
      <c r="CJ1006" s="21"/>
    </row>
    <row r="1007" spans="60:88" x14ac:dyDescent="0.25">
      <c r="BH1007" s="21"/>
      <c r="BI1007" s="21"/>
      <c r="BJ1007" s="21"/>
      <c r="BK1007" s="21"/>
      <c r="BL1007" s="21"/>
      <c r="BM1007" s="21"/>
      <c r="BN1007" s="21"/>
      <c r="BO1007" s="21"/>
      <c r="BQ1007" s="21"/>
      <c r="BR1007" s="21"/>
      <c r="BS1007" s="21"/>
      <c r="BU1007" s="21"/>
      <c r="BX1007" s="21"/>
      <c r="CG1007" s="21"/>
      <c r="CH1007" s="21"/>
      <c r="CI1007" s="21"/>
      <c r="CJ1007" s="21"/>
    </row>
    <row r="1008" spans="60:88" x14ac:dyDescent="0.25">
      <c r="BH1008" s="21"/>
      <c r="BI1008" s="21"/>
      <c r="BJ1008" s="21"/>
      <c r="BK1008" s="21"/>
      <c r="BL1008" s="21"/>
      <c r="BM1008" s="21"/>
      <c r="BN1008" s="21"/>
      <c r="BO1008" s="21"/>
      <c r="BQ1008" s="21"/>
      <c r="BR1008" s="21"/>
      <c r="BS1008" s="21"/>
      <c r="BU1008" s="21"/>
      <c r="BX1008" s="21"/>
      <c r="CG1008" s="21"/>
      <c r="CH1008" s="21"/>
      <c r="CI1008" s="21"/>
      <c r="CJ1008" s="21"/>
    </row>
    <row r="1009" spans="60:88" x14ac:dyDescent="0.25">
      <c r="BH1009" s="21"/>
      <c r="BI1009" s="21"/>
      <c r="BJ1009" s="21"/>
      <c r="BK1009" s="21"/>
      <c r="BL1009" s="21"/>
      <c r="BM1009" s="21"/>
      <c r="BN1009" s="21"/>
      <c r="BO1009" s="21"/>
      <c r="BQ1009" s="21"/>
      <c r="BR1009" s="21"/>
      <c r="BS1009" s="21"/>
      <c r="BU1009" s="21"/>
      <c r="BX1009" s="21"/>
      <c r="CG1009" s="21"/>
      <c r="CH1009" s="21"/>
      <c r="CI1009" s="21"/>
      <c r="CJ1009" s="21"/>
    </row>
    <row r="1010" spans="60:88" x14ac:dyDescent="0.25">
      <c r="BH1010" s="21"/>
      <c r="BI1010" s="21"/>
      <c r="BJ1010" s="21"/>
      <c r="BK1010" s="21"/>
      <c r="BL1010" s="21"/>
      <c r="BM1010" s="21"/>
      <c r="BN1010" s="21"/>
      <c r="BO1010" s="21"/>
      <c r="BQ1010" s="21"/>
      <c r="BR1010" s="21"/>
      <c r="BS1010" s="21"/>
      <c r="BU1010" s="21"/>
      <c r="BX1010" s="21"/>
      <c r="CG1010" s="21"/>
      <c r="CH1010" s="21"/>
      <c r="CI1010" s="21"/>
      <c r="CJ1010" s="21"/>
    </row>
    <row r="1011" spans="60:88" x14ac:dyDescent="0.25">
      <c r="BH1011" s="21"/>
      <c r="BI1011" s="21"/>
      <c r="BJ1011" s="21"/>
      <c r="BK1011" s="21"/>
      <c r="BL1011" s="21"/>
      <c r="BM1011" s="21"/>
      <c r="BN1011" s="21"/>
      <c r="BO1011" s="21"/>
      <c r="BQ1011" s="21"/>
      <c r="BR1011" s="21"/>
      <c r="BS1011" s="21"/>
      <c r="BU1011" s="21"/>
      <c r="BX1011" s="21"/>
      <c r="CG1011" s="21"/>
      <c r="CH1011" s="21"/>
      <c r="CI1011" s="21"/>
      <c r="CJ1011" s="21"/>
    </row>
    <row r="1012" spans="60:88" x14ac:dyDescent="0.25">
      <c r="BH1012" s="21"/>
      <c r="BI1012" s="21"/>
      <c r="BJ1012" s="21"/>
      <c r="BK1012" s="21"/>
      <c r="BL1012" s="21"/>
      <c r="BM1012" s="21"/>
      <c r="BN1012" s="21"/>
      <c r="BO1012" s="21"/>
      <c r="BQ1012" s="21"/>
      <c r="BR1012" s="21"/>
      <c r="BS1012" s="21"/>
      <c r="BU1012" s="21"/>
      <c r="BX1012" s="21"/>
      <c r="CG1012" s="21"/>
      <c r="CH1012" s="21"/>
      <c r="CI1012" s="21"/>
      <c r="CJ1012" s="21"/>
    </row>
    <row r="1013" spans="60:88" x14ac:dyDescent="0.25">
      <c r="BH1013" s="21"/>
      <c r="BI1013" s="21"/>
      <c r="BJ1013" s="21"/>
      <c r="BK1013" s="21"/>
      <c r="BL1013" s="21"/>
      <c r="BM1013" s="21"/>
      <c r="BN1013" s="21"/>
      <c r="BO1013" s="21"/>
      <c r="BQ1013" s="21"/>
      <c r="BR1013" s="21"/>
      <c r="BS1013" s="21"/>
      <c r="BU1013" s="21"/>
      <c r="BX1013" s="21"/>
      <c r="CG1013" s="21"/>
      <c r="CH1013" s="21"/>
      <c r="CI1013" s="21"/>
      <c r="CJ1013" s="21"/>
    </row>
    <row r="1014" spans="60:88" x14ac:dyDescent="0.25">
      <c r="BH1014" s="21"/>
      <c r="BI1014" s="21"/>
      <c r="BJ1014" s="21"/>
      <c r="BK1014" s="21"/>
      <c r="BL1014" s="21"/>
      <c r="BM1014" s="21"/>
      <c r="BN1014" s="21"/>
      <c r="BO1014" s="21"/>
      <c r="BQ1014" s="21"/>
      <c r="BR1014" s="21"/>
      <c r="BS1014" s="21"/>
      <c r="BU1014" s="21"/>
      <c r="BX1014" s="21"/>
      <c r="CG1014" s="21"/>
      <c r="CH1014" s="21"/>
      <c r="CI1014" s="21"/>
      <c r="CJ1014" s="21"/>
    </row>
    <row r="1015" spans="60:88" x14ac:dyDescent="0.25">
      <c r="BH1015" s="21"/>
      <c r="BI1015" s="21"/>
      <c r="BJ1015" s="21"/>
      <c r="BK1015" s="21"/>
      <c r="BL1015" s="21"/>
      <c r="BM1015" s="21"/>
      <c r="BN1015" s="21"/>
      <c r="BO1015" s="21"/>
      <c r="BQ1015" s="21"/>
      <c r="BR1015" s="21"/>
      <c r="BS1015" s="21"/>
      <c r="BU1015" s="21"/>
      <c r="BX1015" s="21"/>
      <c r="CG1015" s="21"/>
      <c r="CH1015" s="21"/>
      <c r="CI1015" s="21"/>
      <c r="CJ1015" s="21"/>
    </row>
    <row r="1016" spans="60:88" x14ac:dyDescent="0.25">
      <c r="BH1016" s="21"/>
      <c r="BI1016" s="21"/>
      <c r="BJ1016" s="21"/>
      <c r="BK1016" s="21"/>
      <c r="BL1016" s="21"/>
      <c r="BM1016" s="21"/>
      <c r="BN1016" s="21"/>
      <c r="BO1016" s="21"/>
      <c r="BQ1016" s="21"/>
      <c r="BR1016" s="21"/>
      <c r="BS1016" s="21"/>
      <c r="BU1016" s="21"/>
      <c r="BX1016" s="21"/>
      <c r="CG1016" s="21"/>
      <c r="CH1016" s="21"/>
      <c r="CI1016" s="21"/>
      <c r="CJ1016" s="21"/>
    </row>
    <row r="1017" spans="60:88" x14ac:dyDescent="0.25">
      <c r="BH1017" s="21"/>
      <c r="BI1017" s="21"/>
      <c r="BJ1017" s="21"/>
      <c r="BK1017" s="21"/>
      <c r="BL1017" s="21"/>
      <c r="BM1017" s="21"/>
      <c r="BN1017" s="21"/>
      <c r="BO1017" s="21"/>
      <c r="BQ1017" s="21"/>
      <c r="BR1017" s="21"/>
      <c r="BS1017" s="21"/>
      <c r="BU1017" s="21"/>
      <c r="BX1017" s="21"/>
      <c r="CG1017" s="21"/>
      <c r="CH1017" s="21"/>
      <c r="CI1017" s="21"/>
      <c r="CJ1017" s="21"/>
    </row>
    <row r="1018" spans="60:88" x14ac:dyDescent="0.25">
      <c r="BH1018" s="21"/>
      <c r="BI1018" s="21"/>
      <c r="BJ1018" s="21"/>
      <c r="BK1018" s="21"/>
      <c r="BL1018" s="21"/>
      <c r="BM1018" s="21"/>
      <c r="BN1018" s="21"/>
      <c r="BO1018" s="21"/>
      <c r="BQ1018" s="21"/>
      <c r="BR1018" s="21"/>
      <c r="BS1018" s="21"/>
      <c r="BU1018" s="21"/>
      <c r="BX1018" s="21"/>
      <c r="CG1018" s="21"/>
      <c r="CH1018" s="21"/>
      <c r="CI1018" s="21"/>
      <c r="CJ1018" s="21"/>
    </row>
    <row r="1019" spans="60:88" x14ac:dyDescent="0.25">
      <c r="BH1019" s="21"/>
      <c r="BI1019" s="21"/>
      <c r="BJ1019" s="21"/>
      <c r="BK1019" s="21"/>
      <c r="BL1019" s="21"/>
      <c r="BM1019" s="21"/>
      <c r="BN1019" s="21"/>
      <c r="BO1019" s="21"/>
      <c r="BQ1019" s="21"/>
      <c r="BR1019" s="21"/>
      <c r="BS1019" s="21"/>
      <c r="BU1019" s="21"/>
      <c r="BX1019" s="21"/>
      <c r="CG1019" s="21"/>
      <c r="CH1019" s="21"/>
      <c r="CI1019" s="21"/>
      <c r="CJ1019" s="21"/>
    </row>
    <row r="1020" spans="60:88" x14ac:dyDescent="0.25">
      <c r="BH1020" s="21"/>
      <c r="BI1020" s="21"/>
      <c r="BJ1020" s="21"/>
      <c r="BK1020" s="21"/>
      <c r="BL1020" s="21"/>
      <c r="BM1020" s="21"/>
      <c r="BN1020" s="21"/>
      <c r="BO1020" s="21"/>
      <c r="BQ1020" s="21"/>
      <c r="BR1020" s="21"/>
      <c r="BS1020" s="21"/>
      <c r="BU1020" s="21"/>
      <c r="BX1020" s="21"/>
      <c r="CG1020" s="21"/>
      <c r="CH1020" s="21"/>
      <c r="CI1020" s="21"/>
      <c r="CJ1020" s="21"/>
    </row>
    <row r="1021" spans="60:88" x14ac:dyDescent="0.25">
      <c r="BH1021" s="21"/>
      <c r="BI1021" s="21"/>
      <c r="BJ1021" s="21"/>
      <c r="BK1021" s="21"/>
      <c r="BL1021" s="21"/>
      <c r="BM1021" s="21"/>
      <c r="BN1021" s="21"/>
      <c r="BO1021" s="21"/>
      <c r="BQ1021" s="21"/>
      <c r="BR1021" s="21"/>
      <c r="BS1021" s="21"/>
      <c r="BU1021" s="21"/>
      <c r="BX1021" s="21"/>
      <c r="CG1021" s="21"/>
      <c r="CH1021" s="21"/>
      <c r="CI1021" s="21"/>
      <c r="CJ1021" s="21"/>
    </row>
    <row r="1022" spans="60:88" x14ac:dyDescent="0.25">
      <c r="BH1022" s="21"/>
      <c r="BI1022" s="21"/>
      <c r="BJ1022" s="21"/>
      <c r="BK1022" s="21"/>
      <c r="BL1022" s="21"/>
      <c r="BM1022" s="21"/>
      <c r="BN1022" s="21"/>
      <c r="BO1022" s="21"/>
      <c r="BQ1022" s="21"/>
      <c r="BR1022" s="21"/>
      <c r="BS1022" s="21"/>
      <c r="BU1022" s="21"/>
      <c r="BX1022" s="21"/>
      <c r="CG1022" s="21"/>
      <c r="CH1022" s="21"/>
      <c r="CI1022" s="21"/>
      <c r="CJ1022" s="21"/>
    </row>
    <row r="1023" spans="60:88" x14ac:dyDescent="0.25">
      <c r="BH1023" s="21"/>
      <c r="BI1023" s="21"/>
      <c r="BJ1023" s="21"/>
      <c r="BK1023" s="21"/>
      <c r="BL1023" s="21"/>
      <c r="BM1023" s="21"/>
      <c r="BN1023" s="21"/>
      <c r="BO1023" s="21"/>
      <c r="BQ1023" s="21"/>
      <c r="BR1023" s="21"/>
      <c r="BS1023" s="21"/>
      <c r="BU1023" s="21"/>
      <c r="BX1023" s="21"/>
      <c r="CG1023" s="21"/>
      <c r="CH1023" s="21"/>
      <c r="CI1023" s="21"/>
      <c r="CJ1023" s="21"/>
    </row>
    <row r="1024" spans="60:88" x14ac:dyDescent="0.25">
      <c r="BH1024" s="21"/>
      <c r="BI1024" s="21"/>
      <c r="BJ1024" s="21"/>
      <c r="BK1024" s="21"/>
      <c r="BL1024" s="21"/>
      <c r="BM1024" s="21"/>
      <c r="BN1024" s="21"/>
      <c r="BO1024" s="21"/>
      <c r="BQ1024" s="21"/>
      <c r="BR1024" s="21"/>
      <c r="BS1024" s="21"/>
      <c r="BU1024" s="21"/>
      <c r="BX1024" s="21"/>
      <c r="CG1024" s="21"/>
      <c r="CH1024" s="21"/>
      <c r="CI1024" s="21"/>
      <c r="CJ1024" s="21"/>
    </row>
    <row r="1025" spans="60:88" x14ac:dyDescent="0.25">
      <c r="BH1025" s="21"/>
      <c r="BI1025" s="21"/>
      <c r="BJ1025" s="21"/>
      <c r="BK1025" s="21"/>
      <c r="BL1025" s="21"/>
      <c r="BM1025" s="21"/>
      <c r="BN1025" s="21"/>
      <c r="BO1025" s="21"/>
      <c r="BQ1025" s="21"/>
      <c r="BR1025" s="21"/>
      <c r="BS1025" s="21"/>
      <c r="BU1025" s="21"/>
      <c r="BX1025" s="21"/>
      <c r="CG1025" s="21"/>
      <c r="CH1025" s="21"/>
      <c r="CI1025" s="21"/>
      <c r="CJ1025" s="21"/>
    </row>
    <row r="1026" spans="60:88" x14ac:dyDescent="0.25">
      <c r="BH1026" s="21"/>
      <c r="BI1026" s="21"/>
      <c r="BJ1026" s="21"/>
      <c r="BK1026" s="21"/>
      <c r="BL1026" s="21"/>
      <c r="BM1026" s="21"/>
      <c r="BN1026" s="21"/>
      <c r="BO1026" s="21"/>
      <c r="BQ1026" s="21"/>
      <c r="BR1026" s="21"/>
      <c r="BS1026" s="21"/>
      <c r="BU1026" s="21"/>
      <c r="BX1026" s="21"/>
      <c r="CG1026" s="21"/>
      <c r="CH1026" s="21"/>
      <c r="CI1026" s="21"/>
      <c r="CJ1026" s="21"/>
    </row>
    <row r="1027" spans="60:88" x14ac:dyDescent="0.25">
      <c r="BH1027" s="21"/>
      <c r="BI1027" s="21"/>
      <c r="BJ1027" s="21"/>
      <c r="BK1027" s="21"/>
      <c r="BL1027" s="21"/>
      <c r="BM1027" s="21"/>
      <c r="BN1027" s="21"/>
      <c r="BO1027" s="21"/>
      <c r="BQ1027" s="21"/>
      <c r="BR1027" s="21"/>
      <c r="BS1027" s="21"/>
      <c r="BU1027" s="21"/>
      <c r="BX1027" s="21"/>
      <c r="CG1027" s="21"/>
      <c r="CH1027" s="21"/>
      <c r="CI1027" s="21"/>
      <c r="CJ1027" s="21"/>
    </row>
    <row r="1028" spans="60:88" x14ac:dyDescent="0.25">
      <c r="BH1028" s="21"/>
      <c r="BI1028" s="21"/>
      <c r="BJ1028" s="21"/>
      <c r="BK1028" s="21"/>
      <c r="BL1028" s="21"/>
      <c r="BM1028" s="21"/>
      <c r="BN1028" s="21"/>
      <c r="BO1028" s="21"/>
      <c r="BQ1028" s="21"/>
      <c r="BR1028" s="21"/>
      <c r="BS1028" s="21"/>
      <c r="BU1028" s="21"/>
      <c r="BX1028" s="21"/>
      <c r="CG1028" s="21"/>
      <c r="CH1028" s="21"/>
      <c r="CI1028" s="21"/>
      <c r="CJ1028" s="21"/>
    </row>
    <row r="1029" spans="60:88" x14ac:dyDescent="0.25">
      <c r="BH1029" s="21"/>
      <c r="BI1029" s="21"/>
      <c r="BJ1029" s="21"/>
      <c r="BK1029" s="21"/>
      <c r="BL1029" s="21"/>
      <c r="BM1029" s="21"/>
      <c r="BN1029" s="21"/>
      <c r="BO1029" s="21"/>
      <c r="BQ1029" s="21"/>
      <c r="BR1029" s="21"/>
      <c r="BS1029" s="21"/>
      <c r="BU1029" s="21"/>
      <c r="BX1029" s="21"/>
      <c r="CG1029" s="21"/>
      <c r="CH1029" s="21"/>
      <c r="CI1029" s="21"/>
      <c r="CJ1029" s="21"/>
    </row>
    <row r="1030" spans="60:88" x14ac:dyDescent="0.25">
      <c r="BH1030" s="21"/>
      <c r="BI1030" s="21"/>
      <c r="BJ1030" s="21"/>
      <c r="BK1030" s="21"/>
      <c r="BL1030" s="21"/>
      <c r="BM1030" s="21"/>
      <c r="BN1030" s="21"/>
      <c r="BO1030" s="21"/>
      <c r="BQ1030" s="21"/>
      <c r="BR1030" s="21"/>
      <c r="BS1030" s="21"/>
      <c r="BU1030" s="21"/>
      <c r="BX1030" s="21"/>
      <c r="CG1030" s="21"/>
      <c r="CH1030" s="21"/>
      <c r="CI1030" s="21"/>
      <c r="CJ1030" s="21"/>
    </row>
    <row r="1031" spans="60:88" x14ac:dyDescent="0.25">
      <c r="BH1031" s="21"/>
      <c r="BI1031" s="21"/>
      <c r="BJ1031" s="21"/>
      <c r="BK1031" s="21"/>
      <c r="BL1031" s="21"/>
      <c r="BM1031" s="21"/>
      <c r="BN1031" s="21"/>
      <c r="BO1031" s="21"/>
      <c r="BQ1031" s="21"/>
      <c r="BR1031" s="21"/>
      <c r="BS1031" s="21"/>
      <c r="BU1031" s="21"/>
      <c r="BX1031" s="21"/>
      <c r="CG1031" s="21"/>
      <c r="CH1031" s="21"/>
      <c r="CI1031" s="21"/>
      <c r="CJ1031" s="21"/>
    </row>
    <row r="1032" spans="60:88" x14ac:dyDescent="0.25">
      <c r="BH1032" s="21"/>
      <c r="BI1032" s="21"/>
      <c r="BJ1032" s="21"/>
      <c r="BK1032" s="21"/>
      <c r="BL1032" s="21"/>
      <c r="BM1032" s="21"/>
      <c r="BN1032" s="21"/>
      <c r="BO1032" s="21"/>
      <c r="BQ1032" s="21"/>
      <c r="BR1032" s="21"/>
      <c r="BS1032" s="21"/>
      <c r="BU1032" s="21"/>
      <c r="BX1032" s="21"/>
      <c r="CG1032" s="21"/>
      <c r="CH1032" s="21"/>
      <c r="CI1032" s="21"/>
      <c r="CJ1032" s="21"/>
    </row>
    <row r="1033" spans="60:88" x14ac:dyDescent="0.25">
      <c r="BH1033" s="21"/>
      <c r="BI1033" s="21"/>
      <c r="BJ1033" s="21"/>
      <c r="BK1033" s="21"/>
      <c r="BL1033" s="21"/>
      <c r="BM1033" s="21"/>
      <c r="BN1033" s="21"/>
      <c r="BO1033" s="21"/>
      <c r="BQ1033" s="21"/>
      <c r="BR1033" s="21"/>
      <c r="BS1033" s="21"/>
      <c r="BU1033" s="21"/>
      <c r="BX1033" s="21"/>
      <c r="CG1033" s="21"/>
      <c r="CH1033" s="21"/>
      <c r="CI1033" s="21"/>
      <c r="CJ1033" s="21"/>
    </row>
    <row r="1034" spans="60:88" x14ac:dyDescent="0.25">
      <c r="BH1034" s="21"/>
      <c r="BI1034" s="21"/>
      <c r="BJ1034" s="21"/>
      <c r="BK1034" s="21"/>
      <c r="BL1034" s="21"/>
      <c r="BM1034" s="21"/>
      <c r="BN1034" s="21"/>
      <c r="BO1034" s="21"/>
      <c r="BQ1034" s="21"/>
      <c r="BR1034" s="21"/>
      <c r="BS1034" s="21"/>
      <c r="BU1034" s="21"/>
      <c r="BX1034" s="21"/>
      <c r="CG1034" s="21"/>
      <c r="CH1034" s="21"/>
      <c r="CI1034" s="21"/>
      <c r="CJ1034" s="21"/>
    </row>
    <row r="1035" spans="60:88" x14ac:dyDescent="0.25">
      <c r="BH1035" s="21"/>
      <c r="BI1035" s="21"/>
      <c r="BJ1035" s="21"/>
      <c r="BK1035" s="21"/>
      <c r="BL1035" s="21"/>
      <c r="BM1035" s="21"/>
      <c r="BN1035" s="21"/>
      <c r="BO1035" s="21"/>
      <c r="BQ1035" s="21"/>
      <c r="BR1035" s="21"/>
      <c r="BS1035" s="21"/>
      <c r="BU1035" s="21"/>
      <c r="BX1035" s="21"/>
      <c r="CG1035" s="21"/>
      <c r="CH1035" s="21"/>
      <c r="CI1035" s="21"/>
      <c r="CJ1035" s="21"/>
    </row>
    <row r="1036" spans="60:88" x14ac:dyDescent="0.25">
      <c r="BH1036" s="21"/>
      <c r="BI1036" s="21"/>
      <c r="BJ1036" s="21"/>
      <c r="BK1036" s="21"/>
      <c r="BL1036" s="21"/>
      <c r="BM1036" s="21"/>
      <c r="BN1036" s="21"/>
      <c r="BO1036" s="21"/>
      <c r="BQ1036" s="21"/>
      <c r="BR1036" s="21"/>
      <c r="BS1036" s="21"/>
      <c r="BU1036" s="21"/>
      <c r="BX1036" s="21"/>
      <c r="CG1036" s="21"/>
      <c r="CH1036" s="21"/>
      <c r="CI1036" s="21"/>
      <c r="CJ1036" s="21"/>
    </row>
    <row r="1037" spans="60:88" x14ac:dyDescent="0.25">
      <c r="BH1037" s="21"/>
      <c r="BI1037" s="21"/>
      <c r="BJ1037" s="21"/>
      <c r="BK1037" s="21"/>
      <c r="BL1037" s="21"/>
      <c r="BM1037" s="21"/>
      <c r="BN1037" s="21"/>
      <c r="BO1037" s="21"/>
      <c r="BQ1037" s="21"/>
      <c r="BR1037" s="21"/>
      <c r="BS1037" s="21"/>
      <c r="BU1037" s="21"/>
      <c r="BX1037" s="21"/>
      <c r="CG1037" s="21"/>
      <c r="CH1037" s="21"/>
      <c r="CI1037" s="21"/>
      <c r="CJ1037" s="21"/>
    </row>
    <row r="1038" spans="60:88" x14ac:dyDescent="0.25">
      <c r="BH1038" s="21"/>
      <c r="BI1038" s="21"/>
      <c r="BJ1038" s="21"/>
      <c r="BK1038" s="21"/>
      <c r="BL1038" s="21"/>
      <c r="BM1038" s="21"/>
      <c r="BN1038" s="21"/>
      <c r="BO1038" s="21"/>
      <c r="BQ1038" s="21"/>
      <c r="BR1038" s="21"/>
      <c r="BS1038" s="21"/>
      <c r="BU1038" s="21"/>
      <c r="BX1038" s="21"/>
      <c r="CG1038" s="21"/>
      <c r="CH1038" s="21"/>
      <c r="CI1038" s="21"/>
      <c r="CJ1038" s="21"/>
    </row>
    <row r="1039" spans="60:88" x14ac:dyDescent="0.25">
      <c r="BH1039" s="21"/>
      <c r="BI1039" s="21"/>
      <c r="BJ1039" s="21"/>
      <c r="BK1039" s="21"/>
      <c r="BL1039" s="21"/>
      <c r="BM1039" s="21"/>
      <c r="BN1039" s="21"/>
      <c r="BO1039" s="21"/>
      <c r="BQ1039" s="21"/>
      <c r="BR1039" s="21"/>
      <c r="BS1039" s="21"/>
      <c r="BU1039" s="21"/>
      <c r="BX1039" s="21"/>
      <c r="CG1039" s="21"/>
      <c r="CH1039" s="21"/>
      <c r="CI1039" s="21"/>
      <c r="CJ1039" s="21"/>
    </row>
    <row r="1040" spans="60:88" x14ac:dyDescent="0.25">
      <c r="BH1040" s="21"/>
      <c r="BI1040" s="21"/>
      <c r="BJ1040" s="21"/>
      <c r="BK1040" s="21"/>
      <c r="BL1040" s="21"/>
      <c r="BM1040" s="21"/>
      <c r="BN1040" s="21"/>
      <c r="BO1040" s="21"/>
      <c r="BQ1040" s="21"/>
      <c r="BR1040" s="21"/>
      <c r="BS1040" s="21"/>
      <c r="BU1040" s="21"/>
      <c r="BX1040" s="21"/>
      <c r="CG1040" s="21"/>
      <c r="CH1040" s="21"/>
      <c r="CI1040" s="21"/>
      <c r="CJ1040" s="21"/>
    </row>
    <row r="1041" spans="60:88" x14ac:dyDescent="0.25">
      <c r="BH1041" s="21"/>
      <c r="BI1041" s="21"/>
      <c r="BJ1041" s="21"/>
      <c r="BK1041" s="21"/>
      <c r="BL1041" s="21"/>
      <c r="BM1041" s="21"/>
      <c r="BN1041" s="21"/>
      <c r="BO1041" s="21"/>
      <c r="BQ1041" s="21"/>
      <c r="BR1041" s="21"/>
      <c r="BS1041" s="21"/>
      <c r="BU1041" s="21"/>
      <c r="BX1041" s="21"/>
      <c r="CG1041" s="21"/>
      <c r="CH1041" s="21"/>
      <c r="CI1041" s="21"/>
      <c r="CJ1041" s="21"/>
    </row>
    <row r="1042" spans="60:88" x14ac:dyDescent="0.25">
      <c r="BH1042" s="21"/>
      <c r="BI1042" s="21"/>
      <c r="BJ1042" s="21"/>
      <c r="BK1042" s="21"/>
      <c r="BL1042" s="21"/>
      <c r="BM1042" s="21"/>
      <c r="BN1042" s="21"/>
      <c r="BO1042" s="21"/>
      <c r="BQ1042" s="21"/>
      <c r="BR1042" s="21"/>
      <c r="BS1042" s="21"/>
      <c r="BU1042" s="21"/>
      <c r="BX1042" s="21"/>
      <c r="CG1042" s="21"/>
      <c r="CH1042" s="21"/>
      <c r="CI1042" s="21"/>
      <c r="CJ1042" s="21"/>
    </row>
    <row r="1043" spans="60:88" x14ac:dyDescent="0.25">
      <c r="BH1043" s="21"/>
      <c r="BI1043" s="21"/>
      <c r="BJ1043" s="21"/>
      <c r="BK1043" s="21"/>
      <c r="BL1043" s="21"/>
      <c r="BM1043" s="21"/>
      <c r="BN1043" s="21"/>
      <c r="BO1043" s="21"/>
      <c r="BQ1043" s="21"/>
      <c r="BR1043" s="21"/>
      <c r="BS1043" s="21"/>
      <c r="BU1043" s="21"/>
      <c r="BX1043" s="21"/>
      <c r="CG1043" s="21"/>
      <c r="CH1043" s="21"/>
      <c r="CI1043" s="21"/>
      <c r="CJ1043" s="21"/>
    </row>
    <row r="1044" spans="60:88" x14ac:dyDescent="0.25">
      <c r="BH1044" s="21"/>
      <c r="BI1044" s="21"/>
      <c r="BJ1044" s="21"/>
      <c r="BK1044" s="21"/>
      <c r="BL1044" s="21"/>
      <c r="BM1044" s="21"/>
      <c r="BN1044" s="21"/>
      <c r="BO1044" s="21"/>
      <c r="BQ1044" s="21"/>
      <c r="BR1044" s="21"/>
      <c r="BS1044" s="21"/>
      <c r="BU1044" s="21"/>
      <c r="BX1044" s="21"/>
      <c r="CG1044" s="21"/>
      <c r="CH1044" s="21"/>
      <c r="CI1044" s="21"/>
      <c r="CJ1044" s="21"/>
    </row>
    <row r="1045" spans="60:88" x14ac:dyDescent="0.25">
      <c r="BH1045" s="21"/>
      <c r="BI1045" s="21"/>
      <c r="BJ1045" s="21"/>
      <c r="BK1045" s="21"/>
      <c r="BL1045" s="21"/>
      <c r="BM1045" s="21"/>
      <c r="BN1045" s="21"/>
      <c r="BO1045" s="21"/>
      <c r="BQ1045" s="21"/>
      <c r="BR1045" s="21"/>
      <c r="BS1045" s="21"/>
      <c r="BU1045" s="21"/>
      <c r="BX1045" s="21"/>
      <c r="CG1045" s="21"/>
      <c r="CH1045" s="21"/>
      <c r="CI1045" s="21"/>
      <c r="CJ1045" s="21"/>
    </row>
    <row r="1046" spans="60:88" x14ac:dyDescent="0.25">
      <c r="BH1046" s="21"/>
      <c r="BI1046" s="21"/>
      <c r="BJ1046" s="21"/>
      <c r="BK1046" s="21"/>
      <c r="BL1046" s="21"/>
      <c r="BM1046" s="21"/>
      <c r="BN1046" s="21"/>
      <c r="BO1046" s="21"/>
      <c r="BQ1046" s="21"/>
      <c r="BR1046" s="21"/>
      <c r="BS1046" s="21"/>
      <c r="BU1046" s="21"/>
      <c r="BX1046" s="21"/>
      <c r="CG1046" s="21"/>
      <c r="CH1046" s="21"/>
      <c r="CI1046" s="21"/>
      <c r="CJ1046" s="21"/>
    </row>
    <row r="1047" spans="60:88" x14ac:dyDescent="0.25">
      <c r="BH1047" s="21"/>
      <c r="BI1047" s="21"/>
      <c r="BJ1047" s="21"/>
      <c r="BK1047" s="21"/>
      <c r="BL1047" s="21"/>
      <c r="BM1047" s="21"/>
      <c r="BN1047" s="21"/>
      <c r="BO1047" s="21"/>
      <c r="BQ1047" s="21"/>
      <c r="BR1047" s="21"/>
      <c r="BS1047" s="21"/>
      <c r="BU1047" s="21"/>
      <c r="BX1047" s="21"/>
      <c r="CG1047" s="21"/>
      <c r="CH1047" s="21"/>
      <c r="CI1047" s="21"/>
      <c r="CJ1047" s="21"/>
    </row>
    <row r="1048" spans="60:88" x14ac:dyDescent="0.25">
      <c r="BH1048" s="21"/>
      <c r="BI1048" s="21"/>
      <c r="BJ1048" s="21"/>
      <c r="BK1048" s="21"/>
      <c r="BL1048" s="21"/>
      <c r="BM1048" s="21"/>
      <c r="BN1048" s="21"/>
      <c r="BO1048" s="21"/>
      <c r="BQ1048" s="21"/>
      <c r="BR1048" s="21"/>
      <c r="BS1048" s="21"/>
      <c r="BU1048" s="21"/>
      <c r="BX1048" s="21"/>
      <c r="CG1048" s="21"/>
      <c r="CH1048" s="21"/>
      <c r="CI1048" s="21"/>
      <c r="CJ1048" s="21"/>
    </row>
    <row r="1049" spans="60:88" x14ac:dyDescent="0.25">
      <c r="BH1049" s="21"/>
      <c r="BI1049" s="21"/>
      <c r="BJ1049" s="21"/>
      <c r="BK1049" s="21"/>
      <c r="BL1049" s="21"/>
      <c r="BM1049" s="21"/>
      <c r="BN1049" s="21"/>
      <c r="BO1049" s="21"/>
      <c r="BQ1049" s="21"/>
      <c r="BR1049" s="21"/>
      <c r="BS1049" s="21"/>
      <c r="BU1049" s="21"/>
      <c r="BX1049" s="21"/>
      <c r="CG1049" s="21"/>
      <c r="CH1049" s="21"/>
      <c r="CI1049" s="21"/>
      <c r="CJ1049" s="21"/>
    </row>
    <row r="1050" spans="60:88" x14ac:dyDescent="0.25">
      <c r="BH1050" s="21"/>
      <c r="BI1050" s="21"/>
      <c r="BJ1050" s="21"/>
      <c r="BK1050" s="21"/>
      <c r="BL1050" s="21"/>
      <c r="BM1050" s="21"/>
      <c r="BN1050" s="21"/>
      <c r="BO1050" s="21"/>
      <c r="BQ1050" s="21"/>
      <c r="BR1050" s="21"/>
      <c r="BS1050" s="21"/>
      <c r="BU1050" s="21"/>
      <c r="BX1050" s="21"/>
      <c r="CG1050" s="21"/>
      <c r="CH1050" s="21"/>
      <c r="CI1050" s="21"/>
      <c r="CJ1050" s="21"/>
    </row>
    <row r="1051" spans="60:88" x14ac:dyDescent="0.25">
      <c r="BH1051" s="21"/>
      <c r="BI1051" s="21"/>
      <c r="BJ1051" s="21"/>
      <c r="BK1051" s="21"/>
      <c r="BL1051" s="21"/>
      <c r="BM1051" s="21"/>
      <c r="BN1051" s="21"/>
      <c r="BO1051" s="21"/>
      <c r="BQ1051" s="21"/>
      <c r="BR1051" s="21"/>
      <c r="BS1051" s="21"/>
      <c r="BU1051" s="21"/>
      <c r="BX1051" s="21"/>
      <c r="CG1051" s="21"/>
      <c r="CH1051" s="21"/>
      <c r="CI1051" s="21"/>
      <c r="CJ1051" s="21"/>
    </row>
    <row r="1052" spans="60:88" x14ac:dyDescent="0.25">
      <c r="BH1052" s="21"/>
      <c r="BI1052" s="21"/>
      <c r="BJ1052" s="21"/>
      <c r="BK1052" s="21"/>
      <c r="BL1052" s="21"/>
      <c r="BM1052" s="21"/>
      <c r="BN1052" s="21"/>
      <c r="BO1052" s="21"/>
      <c r="BQ1052" s="21"/>
      <c r="BR1052" s="21"/>
      <c r="BS1052" s="21"/>
      <c r="BU1052" s="21"/>
      <c r="BX1052" s="21"/>
      <c r="CG1052" s="21"/>
      <c r="CH1052" s="21"/>
      <c r="CI1052" s="21"/>
      <c r="CJ1052" s="21"/>
    </row>
    <row r="1053" spans="60:88" x14ac:dyDescent="0.25">
      <c r="BH1053" s="21"/>
      <c r="BI1053" s="21"/>
      <c r="BJ1053" s="21"/>
      <c r="BK1053" s="21"/>
      <c r="BL1053" s="21"/>
      <c r="BM1053" s="21"/>
      <c r="BN1053" s="21"/>
      <c r="BO1053" s="21"/>
      <c r="BQ1053" s="21"/>
      <c r="BR1053" s="21"/>
      <c r="BS1053" s="21"/>
      <c r="BU1053" s="21"/>
      <c r="BX1053" s="21"/>
      <c r="CG1053" s="21"/>
      <c r="CH1053" s="21"/>
      <c r="CI1053" s="21"/>
      <c r="CJ1053" s="21"/>
    </row>
    <row r="1054" spans="60:88" x14ac:dyDescent="0.25">
      <c r="BH1054" s="21"/>
      <c r="BI1054" s="21"/>
      <c r="BJ1054" s="21"/>
      <c r="BK1054" s="21"/>
      <c r="BL1054" s="21"/>
      <c r="BM1054" s="21"/>
      <c r="BN1054" s="21"/>
      <c r="BO1054" s="21"/>
      <c r="BQ1054" s="21"/>
      <c r="BR1054" s="21"/>
      <c r="BS1054" s="21"/>
      <c r="BU1054" s="21"/>
      <c r="BX1054" s="21"/>
      <c r="CG1054" s="21"/>
      <c r="CH1054" s="21"/>
      <c r="CI1054" s="21"/>
      <c r="CJ1054" s="21"/>
    </row>
    <row r="1055" spans="60:88" x14ac:dyDescent="0.25">
      <c r="BH1055" s="21"/>
      <c r="BI1055" s="21"/>
      <c r="BJ1055" s="21"/>
      <c r="BK1055" s="21"/>
      <c r="BL1055" s="21"/>
      <c r="BM1055" s="21"/>
      <c r="BN1055" s="21"/>
      <c r="BO1055" s="21"/>
      <c r="BQ1055" s="21"/>
      <c r="BR1055" s="21"/>
      <c r="BS1055" s="21"/>
      <c r="BU1055" s="21"/>
      <c r="BX1055" s="21"/>
      <c r="CG1055" s="21"/>
      <c r="CH1055" s="21"/>
      <c r="CI1055" s="21"/>
      <c r="CJ1055" s="21"/>
    </row>
    <row r="1056" spans="60:88" x14ac:dyDescent="0.25">
      <c r="BH1056" s="21"/>
      <c r="BI1056" s="21"/>
      <c r="BJ1056" s="21"/>
      <c r="BK1056" s="21"/>
      <c r="BL1056" s="21"/>
      <c r="BM1056" s="21"/>
      <c r="BN1056" s="21"/>
      <c r="BO1056" s="21"/>
      <c r="BQ1056" s="21"/>
      <c r="BR1056" s="21"/>
      <c r="BS1056" s="21"/>
      <c r="BU1056" s="21"/>
      <c r="BX1056" s="21"/>
      <c r="CG1056" s="21"/>
      <c r="CH1056" s="21"/>
      <c r="CI1056" s="21"/>
      <c r="CJ1056" s="21"/>
    </row>
    <row r="1057" spans="60:88" x14ac:dyDescent="0.25">
      <c r="BH1057" s="21"/>
      <c r="BI1057" s="21"/>
      <c r="BJ1057" s="21"/>
      <c r="BK1057" s="21"/>
      <c r="BL1057" s="21"/>
      <c r="BM1057" s="21"/>
      <c r="BN1057" s="21"/>
      <c r="BO1057" s="21"/>
      <c r="BQ1057" s="21"/>
      <c r="BR1057" s="21"/>
      <c r="BS1057" s="21"/>
      <c r="BU1057" s="21"/>
      <c r="BX1057" s="21"/>
      <c r="CG1057" s="21"/>
      <c r="CH1057" s="21"/>
      <c r="CI1057" s="21"/>
      <c r="CJ1057" s="21"/>
    </row>
    <row r="1058" spans="60:88" x14ac:dyDescent="0.25">
      <c r="BH1058" s="21"/>
      <c r="BI1058" s="21"/>
      <c r="BJ1058" s="21"/>
      <c r="BK1058" s="21"/>
      <c r="BL1058" s="21"/>
      <c r="BM1058" s="21"/>
      <c r="BN1058" s="21"/>
      <c r="BO1058" s="21"/>
      <c r="BQ1058" s="21"/>
      <c r="BR1058" s="21"/>
      <c r="BS1058" s="21"/>
      <c r="BU1058" s="21"/>
      <c r="BX1058" s="21"/>
      <c r="CG1058" s="21"/>
      <c r="CH1058" s="21"/>
      <c r="CI1058" s="21"/>
      <c r="CJ1058" s="21"/>
    </row>
    <row r="1059" spans="60:88" x14ac:dyDescent="0.25">
      <c r="BH1059" s="21"/>
      <c r="BI1059" s="21"/>
      <c r="BJ1059" s="21"/>
      <c r="BK1059" s="21"/>
      <c r="BL1059" s="21"/>
      <c r="BM1059" s="21"/>
      <c r="BN1059" s="21"/>
      <c r="BO1059" s="21"/>
      <c r="BQ1059" s="21"/>
      <c r="BR1059" s="21"/>
      <c r="BS1059" s="21"/>
      <c r="BU1059" s="21"/>
      <c r="BX1059" s="21"/>
      <c r="CG1059" s="21"/>
      <c r="CH1059" s="21"/>
      <c r="CI1059" s="21"/>
      <c r="CJ1059" s="21"/>
    </row>
    <row r="1060" spans="60:88" x14ac:dyDescent="0.25">
      <c r="BH1060" s="21"/>
      <c r="BI1060" s="21"/>
      <c r="BJ1060" s="21"/>
      <c r="BK1060" s="21"/>
      <c r="BL1060" s="21"/>
      <c r="BM1060" s="21"/>
      <c r="BN1060" s="21"/>
      <c r="BO1060" s="21"/>
      <c r="BQ1060" s="21"/>
      <c r="BR1060" s="21"/>
      <c r="BS1060" s="21"/>
      <c r="BU1060" s="21"/>
      <c r="BX1060" s="21"/>
      <c r="CG1060" s="21"/>
      <c r="CH1060" s="21"/>
      <c r="CI1060" s="21"/>
      <c r="CJ1060" s="21"/>
    </row>
    <row r="1061" spans="60:88" x14ac:dyDescent="0.25">
      <c r="BH1061" s="21"/>
      <c r="BI1061" s="21"/>
      <c r="BJ1061" s="21"/>
      <c r="BK1061" s="21"/>
      <c r="BL1061" s="21"/>
      <c r="BM1061" s="21"/>
      <c r="BN1061" s="21"/>
      <c r="BO1061" s="21"/>
      <c r="BQ1061" s="21"/>
      <c r="BR1061" s="21"/>
      <c r="BS1061" s="21"/>
      <c r="BU1061" s="21"/>
      <c r="BX1061" s="21"/>
      <c r="CG1061" s="21"/>
      <c r="CH1061" s="21"/>
      <c r="CI1061" s="21"/>
      <c r="CJ1061" s="21"/>
    </row>
    <row r="1062" spans="60:88" x14ac:dyDescent="0.25">
      <c r="BH1062" s="21"/>
      <c r="BI1062" s="21"/>
      <c r="BJ1062" s="21"/>
      <c r="BK1062" s="21"/>
      <c r="BL1062" s="21"/>
      <c r="BM1062" s="21"/>
      <c r="BN1062" s="21"/>
      <c r="BO1062" s="21"/>
      <c r="BQ1062" s="21"/>
      <c r="BR1062" s="21"/>
      <c r="BS1062" s="21"/>
      <c r="BU1062" s="21"/>
      <c r="BX1062" s="21"/>
      <c r="CG1062" s="21"/>
      <c r="CH1062" s="21"/>
      <c r="CI1062" s="21"/>
      <c r="CJ1062" s="21"/>
    </row>
    <row r="1063" spans="60:88" x14ac:dyDescent="0.25">
      <c r="BH1063" s="21"/>
      <c r="BI1063" s="21"/>
      <c r="BJ1063" s="21"/>
      <c r="BK1063" s="21"/>
      <c r="BL1063" s="21"/>
      <c r="BM1063" s="21"/>
      <c r="BN1063" s="21"/>
      <c r="BO1063" s="21"/>
      <c r="BQ1063" s="21"/>
      <c r="BR1063" s="21"/>
      <c r="BS1063" s="21"/>
      <c r="BU1063" s="21"/>
      <c r="BX1063" s="21"/>
      <c r="CG1063" s="21"/>
      <c r="CH1063" s="21"/>
      <c r="CI1063" s="21"/>
      <c r="CJ1063" s="21"/>
    </row>
    <row r="1064" spans="60:88" x14ac:dyDescent="0.25">
      <c r="BH1064" s="21"/>
      <c r="BI1064" s="21"/>
      <c r="BJ1064" s="21"/>
      <c r="BK1064" s="21"/>
      <c r="BL1064" s="21"/>
      <c r="BM1064" s="21"/>
      <c r="BN1064" s="21"/>
      <c r="BO1064" s="21"/>
      <c r="BQ1064" s="21"/>
      <c r="BR1064" s="21"/>
      <c r="BS1064" s="21"/>
      <c r="BU1064" s="21"/>
      <c r="BX1064" s="21"/>
      <c r="CG1064" s="21"/>
      <c r="CH1064" s="21"/>
      <c r="CI1064" s="21"/>
      <c r="CJ1064" s="21"/>
    </row>
    <row r="1065" spans="60:88" x14ac:dyDescent="0.25">
      <c r="BH1065" s="21"/>
      <c r="BI1065" s="21"/>
      <c r="BJ1065" s="21"/>
      <c r="BK1065" s="21"/>
      <c r="BL1065" s="21"/>
      <c r="BM1065" s="21"/>
      <c r="BN1065" s="21"/>
      <c r="BO1065" s="21"/>
      <c r="BQ1065" s="21"/>
      <c r="BR1065" s="21"/>
      <c r="BS1065" s="21"/>
      <c r="BU1065" s="21"/>
      <c r="BX1065" s="21"/>
      <c r="CG1065" s="21"/>
      <c r="CH1065" s="21"/>
      <c r="CI1065" s="21"/>
      <c r="CJ1065" s="21"/>
    </row>
    <row r="1066" spans="60:88" x14ac:dyDescent="0.25">
      <c r="BH1066" s="21"/>
      <c r="BI1066" s="21"/>
      <c r="BJ1066" s="21"/>
      <c r="BK1066" s="21"/>
      <c r="BL1066" s="21"/>
      <c r="BM1066" s="21"/>
      <c r="BN1066" s="21"/>
      <c r="BO1066" s="21"/>
      <c r="BQ1066" s="21"/>
      <c r="BR1066" s="21"/>
      <c r="BS1066" s="21"/>
      <c r="BU1066" s="21"/>
      <c r="BX1066" s="21"/>
      <c r="CG1066" s="21"/>
      <c r="CH1066" s="21"/>
      <c r="CI1066" s="21"/>
      <c r="CJ1066" s="21"/>
    </row>
    <row r="1067" spans="60:88" x14ac:dyDescent="0.25">
      <c r="BH1067" s="21"/>
      <c r="BI1067" s="21"/>
      <c r="BJ1067" s="21"/>
      <c r="BK1067" s="21"/>
      <c r="BL1067" s="21"/>
      <c r="BM1067" s="21"/>
      <c r="BN1067" s="21"/>
      <c r="BO1067" s="21"/>
      <c r="BQ1067" s="21"/>
      <c r="BR1067" s="21"/>
      <c r="BS1067" s="21"/>
      <c r="BU1067" s="21"/>
      <c r="BX1067" s="21"/>
      <c r="CG1067" s="21"/>
      <c r="CH1067" s="21"/>
      <c r="CI1067" s="21"/>
      <c r="CJ1067" s="21"/>
    </row>
    <row r="1068" spans="60:88" x14ac:dyDescent="0.25">
      <c r="BH1068" s="21"/>
      <c r="BI1068" s="21"/>
      <c r="BJ1068" s="21"/>
      <c r="BK1068" s="21"/>
      <c r="BL1068" s="21"/>
      <c r="BM1068" s="21"/>
      <c r="BN1068" s="21"/>
      <c r="BO1068" s="21"/>
      <c r="BQ1068" s="21"/>
      <c r="BR1068" s="21"/>
      <c r="BS1068" s="21"/>
      <c r="BU1068" s="21"/>
      <c r="BX1068" s="21"/>
      <c r="CG1068" s="21"/>
      <c r="CH1068" s="21"/>
      <c r="CI1068" s="21"/>
      <c r="CJ1068" s="21"/>
    </row>
    <row r="1069" spans="60:88" x14ac:dyDescent="0.25">
      <c r="BH1069" s="21"/>
      <c r="BI1069" s="21"/>
      <c r="BJ1069" s="21"/>
      <c r="BK1069" s="21"/>
      <c r="BL1069" s="21"/>
      <c r="BM1069" s="21"/>
      <c r="BN1069" s="21"/>
      <c r="BO1069" s="21"/>
      <c r="BQ1069" s="21"/>
      <c r="BR1069" s="21"/>
      <c r="BS1069" s="21"/>
      <c r="BU1069" s="21"/>
      <c r="BX1069" s="21"/>
      <c r="CG1069" s="21"/>
      <c r="CH1069" s="21"/>
      <c r="CI1069" s="21"/>
      <c r="CJ1069" s="21"/>
    </row>
    <row r="1070" spans="60:88" x14ac:dyDescent="0.25">
      <c r="BH1070" s="21"/>
      <c r="BI1070" s="21"/>
      <c r="BJ1070" s="21"/>
      <c r="BK1070" s="21"/>
      <c r="BL1070" s="21"/>
      <c r="BM1070" s="21"/>
      <c r="BN1070" s="21"/>
      <c r="BO1070" s="21"/>
      <c r="BQ1070" s="21"/>
      <c r="BR1070" s="21"/>
      <c r="BS1070" s="21"/>
      <c r="BU1070" s="21"/>
      <c r="BX1070" s="21"/>
      <c r="CG1070" s="21"/>
      <c r="CH1070" s="21"/>
      <c r="CI1070" s="21"/>
      <c r="CJ1070" s="21"/>
    </row>
    <row r="1071" spans="60:88" x14ac:dyDescent="0.25">
      <c r="BH1071" s="21"/>
      <c r="BI1071" s="21"/>
      <c r="BJ1071" s="21"/>
      <c r="BK1071" s="21"/>
      <c r="BL1071" s="21"/>
      <c r="BM1071" s="21"/>
      <c r="BN1071" s="21"/>
      <c r="BO1071" s="21"/>
      <c r="BQ1071" s="21"/>
      <c r="BR1071" s="21"/>
      <c r="BS1071" s="21"/>
      <c r="BU1071" s="21"/>
      <c r="BX1071" s="21"/>
      <c r="CG1071" s="21"/>
      <c r="CH1071" s="21"/>
      <c r="CI1071" s="21"/>
      <c r="CJ1071" s="21"/>
    </row>
    <row r="1072" spans="60:88" x14ac:dyDescent="0.25">
      <c r="BH1072" s="21"/>
      <c r="BI1072" s="21"/>
      <c r="BJ1072" s="21"/>
      <c r="BK1072" s="21"/>
      <c r="BL1072" s="21"/>
      <c r="BM1072" s="21"/>
      <c r="BN1072" s="21"/>
      <c r="BO1072" s="21"/>
      <c r="BQ1072" s="21"/>
      <c r="BR1072" s="21"/>
      <c r="BS1072" s="21"/>
      <c r="BU1072" s="21"/>
      <c r="BX1072" s="21"/>
      <c r="CG1072" s="21"/>
      <c r="CH1072" s="21"/>
      <c r="CI1072" s="21"/>
      <c r="CJ1072" s="21"/>
    </row>
    <row r="1073" spans="60:88" x14ac:dyDescent="0.25">
      <c r="BH1073" s="21"/>
      <c r="BI1073" s="21"/>
      <c r="BJ1073" s="21"/>
      <c r="BK1073" s="21"/>
      <c r="BL1073" s="21"/>
      <c r="BM1073" s="21"/>
      <c r="BN1073" s="21"/>
      <c r="BO1073" s="21"/>
      <c r="BQ1073" s="21"/>
      <c r="BR1073" s="21"/>
      <c r="BS1073" s="21"/>
      <c r="BU1073" s="21"/>
      <c r="BX1073" s="21"/>
      <c r="CG1073" s="21"/>
      <c r="CH1073" s="21"/>
      <c r="CI1073" s="21"/>
      <c r="CJ1073" s="21"/>
    </row>
    <row r="1074" spans="60:88" x14ac:dyDescent="0.25">
      <c r="BH1074" s="21"/>
      <c r="BI1074" s="21"/>
      <c r="BJ1074" s="21"/>
      <c r="BK1074" s="21"/>
      <c r="BL1074" s="21"/>
      <c r="BM1074" s="21"/>
      <c r="BN1074" s="21"/>
      <c r="BO1074" s="21"/>
      <c r="BQ1074" s="21"/>
      <c r="BR1074" s="21"/>
      <c r="BS1074" s="21"/>
      <c r="BU1074" s="21"/>
      <c r="BX1074" s="21"/>
      <c r="CG1074" s="21"/>
      <c r="CH1074" s="21"/>
      <c r="CI1074" s="21"/>
      <c r="CJ1074" s="21"/>
    </row>
    <row r="1075" spans="60:88" x14ac:dyDescent="0.25">
      <c r="BH1075" s="21"/>
      <c r="BI1075" s="21"/>
      <c r="BJ1075" s="21"/>
      <c r="BK1075" s="21"/>
      <c r="BL1075" s="21"/>
      <c r="BM1075" s="21"/>
      <c r="BN1075" s="21"/>
      <c r="BO1075" s="21"/>
      <c r="BQ1075" s="21"/>
      <c r="BR1075" s="21"/>
      <c r="BS1075" s="21"/>
      <c r="BU1075" s="21"/>
      <c r="BX1075" s="21"/>
      <c r="CG1075" s="21"/>
      <c r="CH1075" s="21"/>
      <c r="CI1075" s="21"/>
      <c r="CJ1075" s="21"/>
    </row>
    <row r="1076" spans="60:88" x14ac:dyDescent="0.25">
      <c r="BH1076" s="21"/>
      <c r="BI1076" s="21"/>
      <c r="BJ1076" s="21"/>
      <c r="BK1076" s="21"/>
      <c r="BL1076" s="21"/>
      <c r="BM1076" s="21"/>
      <c r="BN1076" s="21"/>
      <c r="BO1076" s="21"/>
      <c r="BQ1076" s="21"/>
      <c r="BR1076" s="21"/>
      <c r="BS1076" s="21"/>
      <c r="BU1076" s="21"/>
      <c r="BX1076" s="21"/>
      <c r="CG1076" s="21"/>
      <c r="CH1076" s="21"/>
      <c r="CI1076" s="21"/>
      <c r="CJ1076" s="21"/>
    </row>
    <row r="1077" spans="60:88" x14ac:dyDescent="0.25">
      <c r="BH1077" s="21"/>
      <c r="BI1077" s="21"/>
      <c r="BJ1077" s="21"/>
      <c r="BK1077" s="21"/>
      <c r="BL1077" s="21"/>
      <c r="BM1077" s="21"/>
      <c r="BN1077" s="21"/>
      <c r="BO1077" s="21"/>
      <c r="BQ1077" s="21"/>
      <c r="BR1077" s="21"/>
      <c r="BS1077" s="21"/>
      <c r="BU1077" s="21"/>
      <c r="BX1077" s="21"/>
      <c r="CG1077" s="21"/>
      <c r="CH1077" s="21"/>
      <c r="CI1077" s="21"/>
      <c r="CJ1077" s="21"/>
    </row>
    <row r="1078" spans="60:88" x14ac:dyDescent="0.25">
      <c r="BH1078" s="21"/>
      <c r="BI1078" s="21"/>
      <c r="BJ1078" s="21"/>
      <c r="BK1078" s="21"/>
      <c r="BL1078" s="21"/>
      <c r="BM1078" s="21"/>
      <c r="BN1078" s="21"/>
      <c r="BO1078" s="21"/>
      <c r="BQ1078" s="21"/>
      <c r="BR1078" s="21"/>
      <c r="BS1078" s="21"/>
      <c r="BU1078" s="21"/>
      <c r="BX1078" s="21"/>
      <c r="CG1078" s="21"/>
      <c r="CH1078" s="21"/>
      <c r="CI1078" s="21"/>
      <c r="CJ1078" s="21"/>
    </row>
    <row r="1079" spans="60:88" x14ac:dyDescent="0.25">
      <c r="BH1079" s="21"/>
      <c r="BI1079" s="21"/>
      <c r="BJ1079" s="21"/>
      <c r="BK1079" s="21"/>
      <c r="BL1079" s="21"/>
      <c r="BM1079" s="21"/>
      <c r="BN1079" s="21"/>
      <c r="BO1079" s="21"/>
      <c r="BQ1079" s="21"/>
      <c r="BR1079" s="21"/>
      <c r="BS1079" s="21"/>
      <c r="BU1079" s="21"/>
      <c r="BX1079" s="21"/>
      <c r="CG1079" s="21"/>
      <c r="CH1079" s="21"/>
      <c r="CI1079" s="21"/>
      <c r="CJ1079" s="21"/>
    </row>
    <row r="1080" spans="60:88" x14ac:dyDescent="0.25">
      <c r="BH1080" s="21"/>
      <c r="BI1080" s="21"/>
      <c r="BJ1080" s="21"/>
      <c r="BK1080" s="21"/>
      <c r="BL1080" s="21"/>
      <c r="BM1080" s="21"/>
      <c r="BN1080" s="21"/>
      <c r="BO1080" s="21"/>
      <c r="BQ1080" s="21"/>
      <c r="BR1080" s="21"/>
      <c r="BS1080" s="21"/>
      <c r="BU1080" s="21"/>
      <c r="BX1080" s="21"/>
      <c r="CG1080" s="21"/>
      <c r="CH1080" s="21"/>
      <c r="CI1080" s="21"/>
      <c r="CJ1080" s="21"/>
    </row>
    <row r="1081" spans="60:88" x14ac:dyDescent="0.25">
      <c r="BH1081" s="21"/>
      <c r="BI1081" s="21"/>
      <c r="BJ1081" s="21"/>
      <c r="BK1081" s="21"/>
      <c r="BL1081" s="21"/>
      <c r="BM1081" s="21"/>
      <c r="BN1081" s="21"/>
      <c r="BO1081" s="21"/>
      <c r="BQ1081" s="21"/>
      <c r="BR1081" s="21"/>
      <c r="BS1081" s="21"/>
      <c r="BU1081" s="21"/>
      <c r="BX1081" s="21"/>
      <c r="CG1081" s="21"/>
      <c r="CH1081" s="21"/>
      <c r="CI1081" s="21"/>
      <c r="CJ1081" s="21"/>
    </row>
    <row r="1082" spans="60:88" x14ac:dyDescent="0.25">
      <c r="BH1082" s="21"/>
      <c r="BI1082" s="21"/>
      <c r="BJ1082" s="21"/>
      <c r="BK1082" s="21"/>
      <c r="BL1082" s="21"/>
      <c r="BM1082" s="21"/>
      <c r="BN1082" s="21"/>
      <c r="BO1082" s="21"/>
      <c r="BQ1082" s="21"/>
      <c r="BR1082" s="21"/>
      <c r="BS1082" s="21"/>
      <c r="BU1082" s="21"/>
      <c r="BX1082" s="21"/>
      <c r="CG1082" s="21"/>
      <c r="CH1082" s="21"/>
      <c r="CI1082" s="21"/>
      <c r="CJ1082" s="21"/>
    </row>
    <row r="1083" spans="60:88" x14ac:dyDescent="0.25">
      <c r="BH1083" s="21"/>
      <c r="BI1083" s="21"/>
      <c r="BJ1083" s="21"/>
      <c r="BK1083" s="21"/>
      <c r="BL1083" s="21"/>
      <c r="BM1083" s="21"/>
      <c r="BN1083" s="21"/>
      <c r="BO1083" s="21"/>
      <c r="BQ1083" s="21"/>
      <c r="BR1083" s="21"/>
      <c r="BS1083" s="21"/>
      <c r="BU1083" s="21"/>
      <c r="BX1083" s="21"/>
      <c r="CG1083" s="21"/>
      <c r="CH1083" s="21"/>
      <c r="CI1083" s="21"/>
      <c r="CJ1083" s="21"/>
    </row>
    <row r="1084" spans="60:88" x14ac:dyDescent="0.25">
      <c r="BH1084" s="21"/>
      <c r="BI1084" s="21"/>
      <c r="BJ1084" s="21"/>
      <c r="BK1084" s="21"/>
      <c r="BL1084" s="21"/>
      <c r="BM1084" s="21"/>
      <c r="BN1084" s="21"/>
      <c r="BO1084" s="21"/>
      <c r="BQ1084" s="21"/>
      <c r="BR1084" s="21"/>
      <c r="BS1084" s="21"/>
      <c r="BU1084" s="21"/>
      <c r="BX1084" s="21"/>
      <c r="CG1084" s="21"/>
      <c r="CH1084" s="21"/>
      <c r="CI1084" s="21"/>
      <c r="CJ1084" s="21"/>
    </row>
    <row r="1085" spans="60:88" x14ac:dyDescent="0.25">
      <c r="BH1085" s="21"/>
      <c r="BI1085" s="21"/>
      <c r="BJ1085" s="21"/>
      <c r="BK1085" s="21"/>
      <c r="BL1085" s="21"/>
      <c r="BM1085" s="21"/>
      <c r="BN1085" s="21"/>
      <c r="BO1085" s="21"/>
      <c r="BQ1085" s="21"/>
      <c r="BR1085" s="21"/>
      <c r="BS1085" s="21"/>
      <c r="BU1085" s="21"/>
      <c r="BX1085" s="21"/>
      <c r="CG1085" s="21"/>
      <c r="CH1085" s="21"/>
      <c r="CI1085" s="21"/>
      <c r="CJ1085" s="21"/>
    </row>
    <row r="1086" spans="60:88" x14ac:dyDescent="0.25">
      <c r="BH1086" s="21"/>
      <c r="BI1086" s="21"/>
      <c r="BJ1086" s="21"/>
      <c r="BK1086" s="21"/>
      <c r="BL1086" s="21"/>
      <c r="BM1086" s="21"/>
      <c r="BN1086" s="21"/>
      <c r="BO1086" s="21"/>
      <c r="BQ1086" s="21"/>
      <c r="BR1086" s="21"/>
      <c r="BS1086" s="21"/>
      <c r="BU1086" s="21"/>
      <c r="BX1086" s="21"/>
      <c r="CG1086" s="21"/>
      <c r="CH1086" s="21"/>
      <c r="CI1086" s="21"/>
      <c r="CJ1086" s="21"/>
    </row>
    <row r="1087" spans="60:88" x14ac:dyDescent="0.25">
      <c r="BH1087" s="21"/>
      <c r="BI1087" s="21"/>
      <c r="BJ1087" s="21"/>
      <c r="BK1087" s="21"/>
      <c r="BL1087" s="21"/>
      <c r="BM1087" s="21"/>
      <c r="BN1087" s="21"/>
      <c r="BO1087" s="21"/>
      <c r="BQ1087" s="21"/>
      <c r="BR1087" s="21"/>
      <c r="BS1087" s="21"/>
      <c r="BU1087" s="21"/>
      <c r="BX1087" s="21"/>
      <c r="CG1087" s="21"/>
      <c r="CH1087" s="21"/>
      <c r="CI1087" s="21"/>
      <c r="CJ1087" s="21"/>
    </row>
    <row r="1088" spans="60:88" x14ac:dyDescent="0.25">
      <c r="BH1088" s="21"/>
      <c r="BI1088" s="21"/>
      <c r="BJ1088" s="21"/>
      <c r="BK1088" s="21"/>
      <c r="BL1088" s="21"/>
      <c r="BM1088" s="21"/>
      <c r="BN1088" s="21"/>
      <c r="BO1088" s="21"/>
      <c r="BQ1088" s="21"/>
      <c r="BR1088" s="21"/>
      <c r="BS1088" s="21"/>
      <c r="BU1088" s="21"/>
      <c r="BX1088" s="21"/>
      <c r="CG1088" s="21"/>
      <c r="CH1088" s="21"/>
      <c r="CI1088" s="21"/>
      <c r="CJ1088" s="21"/>
    </row>
    <row r="1089" spans="60:88" x14ac:dyDescent="0.25">
      <c r="BH1089" s="21"/>
      <c r="BI1089" s="21"/>
      <c r="BJ1089" s="21"/>
      <c r="BK1089" s="21"/>
      <c r="BL1089" s="21"/>
      <c r="BM1089" s="21"/>
      <c r="BN1089" s="21"/>
      <c r="BO1089" s="21"/>
      <c r="BQ1089" s="21"/>
      <c r="BR1089" s="21"/>
      <c r="BS1089" s="21"/>
      <c r="BU1089" s="21"/>
      <c r="BX1089" s="21"/>
      <c r="CG1089" s="21"/>
      <c r="CH1089" s="21"/>
      <c r="CI1089" s="21"/>
      <c r="CJ1089" s="21"/>
    </row>
    <row r="1090" spans="60:88" x14ac:dyDescent="0.25">
      <c r="BH1090" s="21"/>
      <c r="BI1090" s="21"/>
      <c r="BJ1090" s="21"/>
      <c r="BK1090" s="21"/>
      <c r="BL1090" s="21"/>
      <c r="BM1090" s="21"/>
      <c r="BN1090" s="21"/>
      <c r="BO1090" s="21"/>
      <c r="BQ1090" s="21"/>
      <c r="BR1090" s="21"/>
      <c r="BS1090" s="21"/>
      <c r="BU1090" s="21"/>
      <c r="BX1090" s="21"/>
      <c r="CG1090" s="21"/>
      <c r="CH1090" s="21"/>
      <c r="CI1090" s="21"/>
      <c r="CJ1090" s="21"/>
    </row>
    <row r="1091" spans="60:88" x14ac:dyDescent="0.25">
      <c r="BH1091" s="21"/>
      <c r="BI1091" s="21"/>
      <c r="BJ1091" s="21"/>
      <c r="BK1091" s="21"/>
      <c r="BL1091" s="21"/>
      <c r="BM1091" s="21"/>
      <c r="BN1091" s="21"/>
      <c r="BO1091" s="21"/>
      <c r="BQ1091" s="21"/>
      <c r="BR1091" s="21"/>
      <c r="BS1091" s="21"/>
      <c r="BU1091" s="21"/>
      <c r="BX1091" s="21"/>
      <c r="CG1091" s="21"/>
      <c r="CH1091" s="21"/>
      <c r="CI1091" s="21"/>
      <c r="CJ1091" s="21"/>
    </row>
    <row r="1092" spans="60:88" x14ac:dyDescent="0.25">
      <c r="BH1092" s="21"/>
      <c r="BI1092" s="21"/>
      <c r="BJ1092" s="21"/>
      <c r="BK1092" s="21"/>
      <c r="BL1092" s="21"/>
      <c r="BM1092" s="21"/>
      <c r="BN1092" s="21"/>
      <c r="BO1092" s="21"/>
      <c r="BQ1092" s="21"/>
      <c r="BR1092" s="21"/>
      <c r="BS1092" s="21"/>
      <c r="BU1092" s="21"/>
      <c r="BX1092" s="21"/>
      <c r="CG1092" s="21"/>
      <c r="CH1092" s="21"/>
      <c r="CI1092" s="21"/>
      <c r="CJ1092" s="21"/>
    </row>
    <row r="1093" spans="60:88" x14ac:dyDescent="0.25">
      <c r="BH1093" s="21"/>
      <c r="BI1093" s="21"/>
      <c r="BJ1093" s="21"/>
      <c r="BK1093" s="21"/>
      <c r="BL1093" s="21"/>
      <c r="BM1093" s="21"/>
      <c r="BN1093" s="21"/>
      <c r="BO1093" s="21"/>
      <c r="BQ1093" s="21"/>
      <c r="BR1093" s="21"/>
      <c r="BS1093" s="21"/>
      <c r="BU1093" s="21"/>
      <c r="BX1093" s="21"/>
      <c r="CG1093" s="21"/>
      <c r="CH1093" s="21"/>
      <c r="CI1093" s="21"/>
      <c r="CJ1093" s="21"/>
    </row>
    <row r="1094" spans="60:88" x14ac:dyDescent="0.25">
      <c r="BH1094" s="21"/>
      <c r="BI1094" s="21"/>
      <c r="BJ1094" s="21"/>
      <c r="BK1094" s="21"/>
      <c r="BL1094" s="21"/>
      <c r="BM1094" s="21"/>
      <c r="BN1094" s="21"/>
      <c r="BO1094" s="21"/>
      <c r="BQ1094" s="21"/>
      <c r="BR1094" s="21"/>
      <c r="BS1094" s="21"/>
      <c r="BU1094" s="21"/>
      <c r="BX1094" s="21"/>
      <c r="CG1094" s="21"/>
      <c r="CH1094" s="21"/>
      <c r="CI1094" s="21"/>
      <c r="CJ1094" s="21"/>
    </row>
    <row r="1095" spans="60:88" x14ac:dyDescent="0.25">
      <c r="BH1095" s="21"/>
      <c r="BI1095" s="21"/>
      <c r="BJ1095" s="21"/>
      <c r="BK1095" s="21"/>
      <c r="BL1095" s="21"/>
      <c r="BM1095" s="21"/>
      <c r="BN1095" s="21"/>
      <c r="BO1095" s="21"/>
      <c r="BQ1095" s="21"/>
      <c r="BR1095" s="21"/>
      <c r="BS1095" s="21"/>
      <c r="BU1095" s="21"/>
      <c r="BX1095" s="21"/>
      <c r="CG1095" s="21"/>
      <c r="CH1095" s="21"/>
      <c r="CI1095" s="21"/>
      <c r="CJ1095" s="21"/>
    </row>
    <row r="1096" spans="60:88" x14ac:dyDescent="0.25">
      <c r="BH1096" s="21"/>
      <c r="BI1096" s="21"/>
      <c r="BJ1096" s="21"/>
      <c r="BK1096" s="21"/>
      <c r="BL1096" s="21"/>
      <c r="BM1096" s="21"/>
      <c r="BN1096" s="21"/>
      <c r="BO1096" s="21"/>
      <c r="BQ1096" s="21"/>
      <c r="BR1096" s="21"/>
      <c r="BS1096" s="21"/>
      <c r="BU1096" s="21"/>
      <c r="BX1096" s="21"/>
      <c r="CG1096" s="21"/>
      <c r="CH1096" s="21"/>
      <c r="CI1096" s="21"/>
      <c r="CJ1096" s="21"/>
    </row>
    <row r="1097" spans="60:88" x14ac:dyDescent="0.25">
      <c r="BH1097" s="21"/>
      <c r="BI1097" s="21"/>
      <c r="BJ1097" s="21"/>
      <c r="BK1097" s="21"/>
      <c r="BL1097" s="21"/>
      <c r="BM1097" s="21"/>
      <c r="BN1097" s="21"/>
      <c r="BO1097" s="21"/>
      <c r="BQ1097" s="21"/>
      <c r="BR1097" s="21"/>
      <c r="BS1097" s="21"/>
      <c r="BU1097" s="21"/>
      <c r="BX1097" s="21"/>
      <c r="CG1097" s="21"/>
      <c r="CH1097" s="21"/>
      <c r="CI1097" s="21"/>
      <c r="CJ1097" s="21"/>
    </row>
    <row r="1098" spans="60:88" x14ac:dyDescent="0.25">
      <c r="BH1098" s="21"/>
      <c r="BI1098" s="21"/>
      <c r="BJ1098" s="21"/>
      <c r="BK1098" s="21"/>
      <c r="BL1098" s="21"/>
      <c r="BM1098" s="21"/>
      <c r="BN1098" s="21"/>
      <c r="BO1098" s="21"/>
      <c r="BQ1098" s="21"/>
      <c r="BR1098" s="21"/>
      <c r="BS1098" s="21"/>
      <c r="BU1098" s="21"/>
      <c r="BX1098" s="21"/>
      <c r="CG1098" s="21"/>
      <c r="CH1098" s="21"/>
      <c r="CI1098" s="21"/>
      <c r="CJ1098" s="21"/>
    </row>
    <row r="1099" spans="60:88" x14ac:dyDescent="0.25">
      <c r="BH1099" s="21"/>
      <c r="BI1099" s="21"/>
      <c r="BJ1099" s="21"/>
      <c r="BK1099" s="21"/>
      <c r="BL1099" s="21"/>
      <c r="BM1099" s="21"/>
      <c r="BN1099" s="21"/>
      <c r="BO1099" s="21"/>
      <c r="BQ1099" s="21"/>
      <c r="BR1099" s="21"/>
      <c r="BS1099" s="21"/>
      <c r="BU1099" s="21"/>
      <c r="BX1099" s="21"/>
      <c r="CG1099" s="21"/>
      <c r="CH1099" s="21"/>
      <c r="CI1099" s="21"/>
      <c r="CJ1099" s="21"/>
    </row>
    <row r="1100" spans="60:88" x14ac:dyDescent="0.25">
      <c r="BH1100" s="21"/>
      <c r="BI1100" s="21"/>
      <c r="BJ1100" s="21"/>
      <c r="BK1100" s="21"/>
      <c r="BL1100" s="21"/>
      <c r="BM1100" s="21"/>
      <c r="BN1100" s="21"/>
      <c r="BO1100" s="21"/>
      <c r="BQ1100" s="21"/>
      <c r="BR1100" s="21"/>
      <c r="BS1100" s="21"/>
      <c r="BU1100" s="21"/>
      <c r="BX1100" s="21"/>
      <c r="CG1100" s="21"/>
      <c r="CH1100" s="21"/>
      <c r="CI1100" s="21"/>
      <c r="CJ1100" s="21"/>
    </row>
    <row r="1101" spans="60:88" x14ac:dyDescent="0.25">
      <c r="BH1101" s="21"/>
      <c r="BI1101" s="21"/>
      <c r="BJ1101" s="21"/>
      <c r="BK1101" s="21"/>
      <c r="BL1101" s="21"/>
      <c r="BM1101" s="21"/>
      <c r="BN1101" s="21"/>
      <c r="BO1101" s="21"/>
      <c r="BQ1101" s="21"/>
      <c r="BR1101" s="21"/>
      <c r="BS1101" s="21"/>
      <c r="BU1101" s="21"/>
      <c r="BX1101" s="21"/>
      <c r="CG1101" s="21"/>
      <c r="CH1101" s="21"/>
      <c r="CI1101" s="21"/>
      <c r="CJ1101" s="21"/>
    </row>
    <row r="1102" spans="60:88" x14ac:dyDescent="0.25">
      <c r="BH1102" s="21"/>
      <c r="BI1102" s="21"/>
      <c r="BJ1102" s="21"/>
      <c r="BK1102" s="21"/>
      <c r="BL1102" s="21"/>
      <c r="BM1102" s="21"/>
      <c r="BN1102" s="21"/>
      <c r="BO1102" s="21"/>
      <c r="BQ1102" s="21"/>
      <c r="BR1102" s="21"/>
      <c r="BS1102" s="21"/>
      <c r="BU1102" s="21"/>
      <c r="BX1102" s="21"/>
      <c r="CG1102" s="21"/>
      <c r="CH1102" s="21"/>
      <c r="CI1102" s="21"/>
      <c r="CJ1102" s="21"/>
    </row>
    <row r="1103" spans="60:88" x14ac:dyDescent="0.25">
      <c r="BH1103" s="21"/>
      <c r="BI1103" s="21"/>
      <c r="BJ1103" s="21"/>
      <c r="BK1103" s="21"/>
      <c r="BL1103" s="21"/>
      <c r="BM1103" s="21"/>
      <c r="BN1103" s="21"/>
      <c r="BO1103" s="21"/>
      <c r="BQ1103" s="21"/>
      <c r="BR1103" s="21"/>
      <c r="BS1103" s="21"/>
      <c r="BU1103" s="21"/>
      <c r="BX1103" s="21"/>
      <c r="CG1103" s="21"/>
      <c r="CH1103" s="21"/>
      <c r="CI1103" s="21"/>
      <c r="CJ1103" s="21"/>
    </row>
    <row r="1104" spans="60:88" x14ac:dyDescent="0.25">
      <c r="BH1104" s="21"/>
      <c r="BI1104" s="21"/>
      <c r="BJ1104" s="21"/>
      <c r="BK1104" s="21"/>
      <c r="BL1104" s="21"/>
      <c r="BM1104" s="21"/>
      <c r="BN1104" s="21"/>
      <c r="BO1104" s="21"/>
      <c r="BQ1104" s="21"/>
      <c r="BR1104" s="21"/>
      <c r="BS1104" s="21"/>
      <c r="BU1104" s="21"/>
      <c r="BX1104" s="21"/>
      <c r="CG1104" s="21"/>
      <c r="CH1104" s="21"/>
      <c r="CI1104" s="21"/>
      <c r="CJ1104" s="21"/>
    </row>
    <row r="1105" spans="60:88" x14ac:dyDescent="0.25">
      <c r="BH1105" s="21"/>
      <c r="BI1105" s="21"/>
      <c r="BJ1105" s="21"/>
      <c r="BK1105" s="21"/>
      <c r="BL1105" s="21"/>
      <c r="BM1105" s="21"/>
      <c r="BN1105" s="21"/>
      <c r="BO1105" s="21"/>
      <c r="BQ1105" s="21"/>
      <c r="BR1105" s="21"/>
      <c r="BS1105" s="21"/>
      <c r="BU1105" s="21"/>
      <c r="BX1105" s="21"/>
      <c r="CG1105" s="21"/>
      <c r="CH1105" s="21"/>
      <c r="CI1105" s="21"/>
      <c r="CJ1105" s="21"/>
    </row>
    <row r="1106" spans="60:88" x14ac:dyDescent="0.25">
      <c r="BH1106" s="21"/>
      <c r="BI1106" s="21"/>
      <c r="BJ1106" s="21"/>
      <c r="BK1106" s="21"/>
      <c r="BL1106" s="21"/>
      <c r="BM1106" s="21"/>
      <c r="BN1106" s="21"/>
      <c r="BO1106" s="21"/>
      <c r="BQ1106" s="21"/>
      <c r="BR1106" s="21"/>
      <c r="BS1106" s="21"/>
      <c r="BU1106" s="21"/>
      <c r="BX1106" s="21"/>
      <c r="CG1106" s="21"/>
      <c r="CH1106" s="21"/>
      <c r="CI1106" s="21"/>
      <c r="CJ1106" s="21"/>
    </row>
    <row r="1107" spans="60:88" x14ac:dyDescent="0.25">
      <c r="BH1107" s="21"/>
      <c r="BI1107" s="21"/>
      <c r="BJ1107" s="21"/>
      <c r="BK1107" s="21"/>
      <c r="BL1107" s="21"/>
      <c r="BM1107" s="21"/>
      <c r="BN1107" s="21"/>
      <c r="BO1107" s="21"/>
      <c r="BQ1107" s="21"/>
      <c r="BR1107" s="21"/>
      <c r="BS1107" s="21"/>
      <c r="BU1107" s="21"/>
      <c r="BX1107" s="21"/>
      <c r="CG1107" s="21"/>
      <c r="CH1107" s="21"/>
      <c r="CI1107" s="21"/>
      <c r="CJ1107" s="21"/>
    </row>
    <row r="1108" spans="60:88" x14ac:dyDescent="0.25">
      <c r="BH1108" s="21"/>
      <c r="BI1108" s="21"/>
      <c r="BJ1108" s="21"/>
      <c r="BK1108" s="21"/>
      <c r="BL1108" s="21"/>
      <c r="BM1108" s="21"/>
      <c r="BN1108" s="21"/>
      <c r="BO1108" s="21"/>
      <c r="BQ1108" s="21"/>
      <c r="BR1108" s="21"/>
      <c r="BS1108" s="21"/>
      <c r="BU1108" s="21"/>
      <c r="BX1108" s="21"/>
      <c r="CG1108" s="21"/>
      <c r="CH1108" s="21"/>
      <c r="CI1108" s="21"/>
      <c r="CJ1108" s="21"/>
    </row>
    <row r="1109" spans="60:88" x14ac:dyDescent="0.25">
      <c r="BH1109" s="21"/>
      <c r="BI1109" s="21"/>
      <c r="BJ1109" s="21"/>
      <c r="BK1109" s="21"/>
      <c r="BL1109" s="21"/>
      <c r="BM1109" s="21"/>
      <c r="BN1109" s="21"/>
      <c r="BO1109" s="21"/>
      <c r="BQ1109" s="21"/>
      <c r="BR1109" s="21"/>
      <c r="BS1109" s="21"/>
      <c r="BU1109" s="21"/>
      <c r="BX1109" s="21"/>
      <c r="CG1109" s="21"/>
      <c r="CH1109" s="21"/>
      <c r="CI1109" s="21"/>
      <c r="CJ1109" s="21"/>
    </row>
    <row r="1110" spans="60:88" x14ac:dyDescent="0.25">
      <c r="BH1110" s="21"/>
      <c r="BI1110" s="21"/>
      <c r="BJ1110" s="21"/>
      <c r="BK1110" s="21"/>
      <c r="BL1110" s="21"/>
      <c r="BM1110" s="21"/>
      <c r="BN1110" s="21"/>
      <c r="BO1110" s="21"/>
      <c r="BQ1110" s="21"/>
      <c r="BR1110" s="21"/>
      <c r="BS1110" s="21"/>
      <c r="BU1110" s="21"/>
      <c r="BX1110" s="21"/>
      <c r="CG1110" s="21"/>
      <c r="CH1110" s="21"/>
      <c r="CI1110" s="21"/>
      <c r="CJ1110" s="21"/>
    </row>
    <row r="1111" spans="60:88" x14ac:dyDescent="0.25">
      <c r="BH1111" s="21"/>
      <c r="BI1111" s="21"/>
      <c r="BJ1111" s="21"/>
      <c r="BK1111" s="21"/>
      <c r="BL1111" s="21"/>
      <c r="BM1111" s="21"/>
      <c r="BN1111" s="21"/>
      <c r="BO1111" s="21"/>
      <c r="BQ1111" s="21"/>
      <c r="BR1111" s="21"/>
      <c r="BS1111" s="21"/>
      <c r="BU1111" s="21"/>
      <c r="BX1111" s="21"/>
      <c r="CG1111" s="21"/>
      <c r="CH1111" s="21"/>
      <c r="CI1111" s="21"/>
      <c r="CJ1111" s="21"/>
    </row>
    <row r="1112" spans="60:88" x14ac:dyDescent="0.25">
      <c r="BH1112" s="21"/>
      <c r="BI1112" s="21"/>
      <c r="BJ1112" s="21"/>
      <c r="BK1112" s="21"/>
      <c r="BL1112" s="21"/>
      <c r="BM1112" s="21"/>
      <c r="BN1112" s="21"/>
      <c r="BO1112" s="21"/>
      <c r="BQ1112" s="21"/>
      <c r="BR1112" s="21"/>
      <c r="BS1112" s="21"/>
      <c r="BU1112" s="21"/>
      <c r="BX1112" s="21"/>
      <c r="CG1112" s="21"/>
      <c r="CH1112" s="21"/>
      <c r="CI1112" s="21"/>
      <c r="CJ1112" s="21"/>
    </row>
    <row r="1113" spans="60:88" x14ac:dyDescent="0.25">
      <c r="BH1113" s="21"/>
      <c r="BI1113" s="21"/>
      <c r="BJ1113" s="21"/>
      <c r="BK1113" s="21"/>
      <c r="BL1113" s="21"/>
      <c r="BM1113" s="21"/>
      <c r="BN1113" s="21"/>
      <c r="BO1113" s="21"/>
      <c r="BQ1113" s="21"/>
      <c r="BR1113" s="21"/>
      <c r="BS1113" s="21"/>
      <c r="BU1113" s="21"/>
      <c r="BX1113" s="21"/>
      <c r="CG1113" s="21"/>
      <c r="CH1113" s="21"/>
      <c r="CI1113" s="21"/>
      <c r="CJ1113" s="21"/>
    </row>
    <row r="1114" spans="60:88" x14ac:dyDescent="0.25">
      <c r="BH1114" s="21"/>
      <c r="BI1114" s="21"/>
      <c r="BJ1114" s="21"/>
      <c r="BK1114" s="21"/>
      <c r="BL1114" s="21"/>
      <c r="BM1114" s="21"/>
      <c r="BN1114" s="21"/>
      <c r="BO1114" s="21"/>
      <c r="BQ1114" s="21"/>
      <c r="BR1114" s="21"/>
      <c r="BS1114" s="21"/>
      <c r="BU1114" s="21"/>
      <c r="BX1114" s="21"/>
      <c r="CG1114" s="21"/>
      <c r="CH1114" s="21"/>
      <c r="CI1114" s="21"/>
      <c r="CJ1114" s="21"/>
    </row>
    <row r="1115" spans="60:88" x14ac:dyDescent="0.25">
      <c r="BH1115" s="21"/>
      <c r="BI1115" s="21"/>
      <c r="BJ1115" s="21"/>
      <c r="BK1115" s="21"/>
      <c r="BL1115" s="21"/>
      <c r="BM1115" s="21"/>
      <c r="BN1115" s="21"/>
      <c r="BO1115" s="21"/>
      <c r="BQ1115" s="21"/>
      <c r="BR1115" s="21"/>
      <c r="BS1115" s="21"/>
      <c r="BU1115" s="21"/>
      <c r="BX1115" s="21"/>
      <c r="CG1115" s="21"/>
      <c r="CH1115" s="21"/>
      <c r="CI1115" s="21"/>
      <c r="CJ1115" s="21"/>
    </row>
    <row r="1116" spans="60:88" x14ac:dyDescent="0.25">
      <c r="BH1116" s="21"/>
      <c r="BI1116" s="21"/>
      <c r="BJ1116" s="21"/>
      <c r="BK1116" s="21"/>
      <c r="BL1116" s="21"/>
      <c r="BM1116" s="21"/>
      <c r="BN1116" s="21"/>
      <c r="BO1116" s="21"/>
      <c r="BQ1116" s="21"/>
      <c r="BR1116" s="21"/>
      <c r="BS1116" s="21"/>
      <c r="BU1116" s="21"/>
      <c r="BX1116" s="21"/>
      <c r="CG1116" s="21"/>
      <c r="CH1116" s="21"/>
      <c r="CI1116" s="21"/>
      <c r="CJ1116" s="21"/>
    </row>
    <row r="1117" spans="60:88" x14ac:dyDescent="0.25">
      <c r="BH1117" s="21"/>
      <c r="BI1117" s="21"/>
      <c r="BJ1117" s="21"/>
      <c r="BK1117" s="21"/>
      <c r="BL1117" s="21"/>
      <c r="BM1117" s="21"/>
      <c r="BN1117" s="21"/>
      <c r="BO1117" s="21"/>
      <c r="BQ1117" s="21"/>
      <c r="BR1117" s="21"/>
      <c r="BS1117" s="21"/>
      <c r="BU1117" s="21"/>
      <c r="BX1117" s="21"/>
      <c r="CG1117" s="21"/>
      <c r="CH1117" s="21"/>
      <c r="CI1117" s="21"/>
      <c r="CJ1117" s="21"/>
    </row>
    <row r="1118" spans="60:88" x14ac:dyDescent="0.25">
      <c r="BH1118" s="21"/>
      <c r="BI1118" s="21"/>
      <c r="BJ1118" s="21"/>
      <c r="BK1118" s="21"/>
      <c r="BL1118" s="21"/>
      <c r="BM1118" s="21"/>
      <c r="BN1118" s="21"/>
      <c r="BO1118" s="21"/>
      <c r="BQ1118" s="21"/>
      <c r="BR1118" s="21"/>
      <c r="BS1118" s="21"/>
      <c r="BU1118" s="21"/>
      <c r="BX1118" s="21"/>
      <c r="CG1118" s="21"/>
      <c r="CH1118" s="21"/>
      <c r="CI1118" s="21"/>
      <c r="CJ1118" s="21"/>
    </row>
    <row r="1119" spans="60:88" x14ac:dyDescent="0.25">
      <c r="BH1119" s="21"/>
      <c r="BI1119" s="21"/>
      <c r="BJ1119" s="21"/>
      <c r="BK1119" s="21"/>
      <c r="BL1119" s="21"/>
      <c r="BM1119" s="21"/>
      <c r="BN1119" s="21"/>
      <c r="BO1119" s="21"/>
      <c r="BQ1119" s="21"/>
      <c r="BR1119" s="21"/>
      <c r="BS1119" s="21"/>
      <c r="BU1119" s="21"/>
      <c r="BX1119" s="21"/>
      <c r="CG1119" s="21"/>
      <c r="CH1119" s="21"/>
      <c r="CI1119" s="21"/>
      <c r="CJ1119" s="21"/>
    </row>
    <row r="1120" spans="60:88" x14ac:dyDescent="0.25">
      <c r="BH1120" s="21"/>
      <c r="BI1120" s="21"/>
      <c r="BJ1120" s="21"/>
      <c r="BK1120" s="21"/>
      <c r="BL1120" s="21"/>
      <c r="BM1120" s="21"/>
      <c r="BN1120" s="21"/>
      <c r="BO1120" s="21"/>
      <c r="BQ1120" s="21"/>
      <c r="BR1120" s="21"/>
      <c r="BS1120" s="21"/>
      <c r="BU1120" s="21"/>
      <c r="BX1120" s="21"/>
      <c r="CG1120" s="21"/>
      <c r="CH1120" s="21"/>
      <c r="CI1120" s="21"/>
      <c r="CJ1120" s="21"/>
    </row>
    <row r="1121" spans="60:88" x14ac:dyDescent="0.25">
      <c r="BH1121" s="21"/>
      <c r="BI1121" s="21"/>
      <c r="BJ1121" s="21"/>
      <c r="BK1121" s="21"/>
      <c r="BL1121" s="21"/>
      <c r="BM1121" s="21"/>
      <c r="BN1121" s="21"/>
      <c r="BO1121" s="21"/>
      <c r="BQ1121" s="21"/>
      <c r="BR1121" s="21"/>
      <c r="BS1121" s="21"/>
      <c r="BU1121" s="21"/>
      <c r="BX1121" s="21"/>
      <c r="CG1121" s="21"/>
      <c r="CH1121" s="21"/>
      <c r="CI1121" s="21"/>
      <c r="CJ1121" s="21"/>
    </row>
    <row r="1122" spans="60:88" x14ac:dyDescent="0.25">
      <c r="BH1122" s="21"/>
      <c r="BI1122" s="21"/>
      <c r="BJ1122" s="21"/>
      <c r="BK1122" s="21"/>
      <c r="BL1122" s="21"/>
      <c r="BM1122" s="21"/>
      <c r="BN1122" s="21"/>
      <c r="BO1122" s="21"/>
      <c r="BQ1122" s="21"/>
      <c r="BR1122" s="21"/>
      <c r="BS1122" s="21"/>
      <c r="BU1122" s="21"/>
      <c r="BX1122" s="21"/>
      <c r="CG1122" s="21"/>
      <c r="CH1122" s="21"/>
      <c r="CI1122" s="21"/>
      <c r="CJ1122" s="21"/>
    </row>
    <row r="1123" spans="60:88" x14ac:dyDescent="0.25">
      <c r="BH1123" s="21"/>
      <c r="BI1123" s="21"/>
      <c r="BJ1123" s="21"/>
      <c r="BK1123" s="21"/>
      <c r="BL1123" s="21"/>
      <c r="BM1123" s="21"/>
      <c r="BN1123" s="21"/>
      <c r="BO1123" s="21"/>
      <c r="BQ1123" s="21"/>
      <c r="BR1123" s="21"/>
      <c r="BS1123" s="21"/>
      <c r="BU1123" s="21"/>
      <c r="BX1123" s="21"/>
      <c r="CG1123" s="21"/>
      <c r="CH1123" s="21"/>
      <c r="CI1123" s="21"/>
      <c r="CJ1123" s="21"/>
    </row>
    <row r="1124" spans="60:88" x14ac:dyDescent="0.25">
      <c r="BH1124" s="21"/>
      <c r="BI1124" s="21"/>
      <c r="BJ1124" s="21"/>
      <c r="BK1124" s="21"/>
      <c r="BL1124" s="21"/>
      <c r="BM1124" s="21"/>
      <c r="BN1124" s="21"/>
      <c r="BO1124" s="21"/>
      <c r="BQ1124" s="21"/>
      <c r="BR1124" s="21"/>
      <c r="BS1124" s="21"/>
      <c r="BU1124" s="21"/>
      <c r="BX1124" s="21"/>
      <c r="CG1124" s="21"/>
      <c r="CH1124" s="21"/>
      <c r="CI1124" s="21"/>
      <c r="CJ1124" s="21"/>
    </row>
    <row r="1125" spans="60:88" x14ac:dyDescent="0.25">
      <c r="BH1125" s="21"/>
      <c r="BI1125" s="21"/>
      <c r="BJ1125" s="21"/>
      <c r="BK1125" s="21"/>
      <c r="BL1125" s="21"/>
      <c r="BM1125" s="21"/>
      <c r="BN1125" s="21"/>
      <c r="BO1125" s="21"/>
      <c r="BQ1125" s="21"/>
      <c r="BR1125" s="21"/>
      <c r="BS1125" s="21"/>
      <c r="BU1125" s="21"/>
      <c r="BX1125" s="21"/>
      <c r="CG1125" s="21"/>
      <c r="CH1125" s="21"/>
      <c r="CI1125" s="21"/>
      <c r="CJ1125" s="21"/>
    </row>
    <row r="1126" spans="60:88" x14ac:dyDescent="0.25">
      <c r="BH1126" s="21"/>
      <c r="BI1126" s="21"/>
      <c r="BJ1126" s="21"/>
      <c r="BK1126" s="21"/>
      <c r="BL1126" s="21"/>
      <c r="BM1126" s="21"/>
      <c r="BN1126" s="21"/>
      <c r="BO1126" s="21"/>
      <c r="BQ1126" s="21"/>
      <c r="BR1126" s="21"/>
      <c r="BS1126" s="21"/>
      <c r="BU1126" s="21"/>
      <c r="BX1126" s="21"/>
      <c r="CG1126" s="21"/>
      <c r="CH1126" s="21"/>
      <c r="CI1126" s="21"/>
      <c r="CJ1126" s="21"/>
    </row>
    <row r="1127" spans="60:88" x14ac:dyDescent="0.25">
      <c r="BH1127" s="21"/>
      <c r="BI1127" s="21"/>
      <c r="BJ1127" s="21"/>
      <c r="BK1127" s="21"/>
      <c r="BL1127" s="21"/>
      <c r="BM1127" s="21"/>
      <c r="BN1127" s="21"/>
      <c r="BO1127" s="21"/>
      <c r="BQ1127" s="21"/>
      <c r="BR1127" s="21"/>
      <c r="BS1127" s="21"/>
      <c r="BU1127" s="21"/>
      <c r="BX1127" s="21"/>
      <c r="CG1127" s="21"/>
      <c r="CH1127" s="21"/>
      <c r="CI1127" s="21"/>
      <c r="CJ1127" s="21"/>
    </row>
    <row r="1128" spans="60:88" x14ac:dyDescent="0.25">
      <c r="BH1128" s="21"/>
      <c r="BI1128" s="21"/>
      <c r="BJ1128" s="21"/>
      <c r="BK1128" s="21"/>
      <c r="BL1128" s="21"/>
      <c r="BM1128" s="21"/>
      <c r="BN1128" s="21"/>
      <c r="BO1128" s="21"/>
      <c r="BQ1128" s="21"/>
      <c r="BR1128" s="21"/>
      <c r="BS1128" s="21"/>
      <c r="BU1128" s="21"/>
      <c r="BX1128" s="21"/>
      <c r="CG1128" s="21"/>
      <c r="CH1128" s="21"/>
      <c r="CI1128" s="21"/>
      <c r="CJ1128" s="21"/>
    </row>
    <row r="1129" spans="60:88" x14ac:dyDescent="0.25">
      <c r="BH1129" s="21"/>
      <c r="BI1129" s="21"/>
      <c r="BJ1129" s="21"/>
      <c r="BK1129" s="21"/>
      <c r="BL1129" s="21"/>
      <c r="BM1129" s="21"/>
      <c r="BN1129" s="21"/>
      <c r="BO1129" s="21"/>
      <c r="BQ1129" s="21"/>
      <c r="BR1129" s="21"/>
      <c r="BS1129" s="21"/>
      <c r="BU1129" s="21"/>
      <c r="BX1129" s="21"/>
      <c r="CG1129" s="21"/>
      <c r="CH1129" s="21"/>
      <c r="CI1129" s="21"/>
      <c r="CJ1129" s="21"/>
    </row>
    <row r="1130" spans="60:88" x14ac:dyDescent="0.25">
      <c r="BH1130" s="21"/>
      <c r="BI1130" s="21"/>
      <c r="BJ1130" s="21"/>
      <c r="BK1130" s="21"/>
      <c r="BL1130" s="21"/>
      <c r="BM1130" s="21"/>
      <c r="BN1130" s="21"/>
      <c r="BO1130" s="21"/>
      <c r="BQ1130" s="21"/>
      <c r="BR1130" s="21"/>
      <c r="BS1130" s="21"/>
      <c r="BU1130" s="21"/>
      <c r="BX1130" s="21"/>
      <c r="CG1130" s="21"/>
      <c r="CH1130" s="21"/>
      <c r="CI1130" s="21"/>
      <c r="CJ1130" s="21"/>
    </row>
    <row r="1131" spans="60:88" x14ac:dyDescent="0.25">
      <c r="BH1131" s="21"/>
      <c r="BI1131" s="21"/>
      <c r="BJ1131" s="21"/>
      <c r="BK1131" s="21"/>
      <c r="BL1131" s="21"/>
      <c r="BM1131" s="21"/>
      <c r="BN1131" s="21"/>
      <c r="BO1131" s="21"/>
      <c r="BQ1131" s="21"/>
      <c r="BR1131" s="21"/>
      <c r="BS1131" s="21"/>
      <c r="BU1131" s="21"/>
      <c r="BX1131" s="21"/>
      <c r="CG1131" s="21"/>
      <c r="CH1131" s="21"/>
      <c r="CI1131" s="21"/>
      <c r="CJ1131" s="21"/>
    </row>
    <row r="1132" spans="60:88" x14ac:dyDescent="0.25">
      <c r="BH1132" s="21"/>
      <c r="BI1132" s="21"/>
      <c r="BJ1132" s="21"/>
      <c r="BK1132" s="21"/>
      <c r="BL1132" s="21"/>
      <c r="BM1132" s="21"/>
      <c r="BN1132" s="21"/>
      <c r="BO1132" s="21"/>
      <c r="BQ1132" s="21"/>
      <c r="BR1132" s="21"/>
      <c r="BS1132" s="21"/>
      <c r="BU1132" s="21"/>
      <c r="BX1132" s="21"/>
      <c r="CG1132" s="21"/>
      <c r="CH1132" s="21"/>
      <c r="CI1132" s="21"/>
      <c r="CJ1132" s="21"/>
    </row>
    <row r="1133" spans="60:88" x14ac:dyDescent="0.25">
      <c r="BH1133" s="21"/>
      <c r="BI1133" s="21"/>
      <c r="BJ1133" s="21"/>
      <c r="BK1133" s="21"/>
      <c r="BL1133" s="21"/>
      <c r="BM1133" s="21"/>
      <c r="BN1133" s="21"/>
      <c r="BO1133" s="21"/>
      <c r="BQ1133" s="21"/>
      <c r="BR1133" s="21"/>
      <c r="BS1133" s="21"/>
      <c r="BU1133" s="21"/>
      <c r="BX1133" s="21"/>
      <c r="CG1133" s="21"/>
      <c r="CH1133" s="21"/>
      <c r="CI1133" s="21"/>
      <c r="CJ1133" s="21"/>
    </row>
    <row r="1134" spans="60:88" x14ac:dyDescent="0.25">
      <c r="BH1134" s="21"/>
      <c r="BI1134" s="21"/>
      <c r="BJ1134" s="21"/>
      <c r="BK1134" s="21"/>
      <c r="BL1134" s="21"/>
      <c r="BM1134" s="21"/>
      <c r="BN1134" s="21"/>
      <c r="BO1134" s="21"/>
      <c r="BQ1134" s="21"/>
      <c r="BR1134" s="21"/>
      <c r="BS1134" s="21"/>
      <c r="BU1134" s="21"/>
      <c r="BX1134" s="21"/>
      <c r="CG1134" s="21"/>
      <c r="CH1134" s="21"/>
      <c r="CI1134" s="21"/>
      <c r="CJ1134" s="21"/>
    </row>
    <row r="1135" spans="60:88" x14ac:dyDescent="0.25">
      <c r="BH1135" s="21"/>
      <c r="BI1135" s="21"/>
      <c r="BJ1135" s="21"/>
      <c r="BK1135" s="21"/>
      <c r="BL1135" s="21"/>
      <c r="BM1135" s="21"/>
      <c r="BN1135" s="21"/>
      <c r="BO1135" s="21"/>
      <c r="BQ1135" s="21"/>
      <c r="BR1135" s="21"/>
      <c r="BS1135" s="21"/>
      <c r="BU1135" s="21"/>
      <c r="BX1135" s="21"/>
      <c r="CG1135" s="21"/>
      <c r="CH1135" s="21"/>
      <c r="CI1135" s="21"/>
      <c r="CJ1135" s="21"/>
    </row>
    <row r="1136" spans="60:88" x14ac:dyDescent="0.25">
      <c r="BH1136" s="21"/>
      <c r="BI1136" s="21"/>
      <c r="BJ1136" s="21"/>
      <c r="BK1136" s="21"/>
      <c r="BL1136" s="21"/>
      <c r="BM1136" s="21"/>
      <c r="BN1136" s="21"/>
      <c r="BO1136" s="21"/>
      <c r="BQ1136" s="21"/>
      <c r="BR1136" s="21"/>
      <c r="BS1136" s="21"/>
      <c r="BU1136" s="21"/>
      <c r="BX1136" s="21"/>
      <c r="CG1136" s="21"/>
      <c r="CH1136" s="21"/>
      <c r="CI1136" s="21"/>
      <c r="CJ1136" s="21"/>
    </row>
    <row r="1137" spans="60:88" x14ac:dyDescent="0.25">
      <c r="BH1137" s="21"/>
      <c r="BI1137" s="21"/>
      <c r="BJ1137" s="21"/>
      <c r="BK1137" s="21"/>
      <c r="BL1137" s="21"/>
      <c r="BM1137" s="21"/>
      <c r="BN1137" s="21"/>
      <c r="BO1137" s="21"/>
      <c r="BQ1137" s="21"/>
      <c r="BR1137" s="21"/>
      <c r="BS1137" s="21"/>
      <c r="BU1137" s="21"/>
      <c r="BX1137" s="21"/>
      <c r="CG1137" s="21"/>
      <c r="CH1137" s="21"/>
      <c r="CI1137" s="21"/>
      <c r="CJ1137" s="21"/>
    </row>
    <row r="1138" spans="60:88" x14ac:dyDescent="0.25">
      <c r="BH1138" s="21"/>
      <c r="BI1138" s="21"/>
      <c r="BJ1138" s="21"/>
      <c r="BK1138" s="21"/>
      <c r="BL1138" s="21"/>
      <c r="BM1138" s="21"/>
      <c r="BN1138" s="21"/>
      <c r="BO1138" s="21"/>
      <c r="BQ1138" s="21"/>
      <c r="BR1138" s="21"/>
      <c r="BS1138" s="21"/>
      <c r="BU1138" s="21"/>
      <c r="BX1138" s="21"/>
      <c r="CG1138" s="21"/>
      <c r="CH1138" s="21"/>
      <c r="CI1138" s="21"/>
      <c r="CJ1138" s="21"/>
    </row>
    <row r="1139" spans="60:88" x14ac:dyDescent="0.25">
      <c r="BH1139" s="21"/>
      <c r="BI1139" s="21"/>
      <c r="BJ1139" s="21"/>
      <c r="BK1139" s="21"/>
      <c r="BL1139" s="21"/>
      <c r="BM1139" s="21"/>
      <c r="BN1139" s="21"/>
      <c r="BO1139" s="21"/>
      <c r="BQ1139" s="21"/>
      <c r="BR1139" s="21"/>
      <c r="BS1139" s="21"/>
      <c r="BU1139" s="21"/>
      <c r="BX1139" s="21"/>
      <c r="CG1139" s="21"/>
      <c r="CH1139" s="21"/>
      <c r="CI1139" s="21"/>
      <c r="CJ1139" s="21"/>
    </row>
    <row r="1140" spans="60:88" x14ac:dyDescent="0.25">
      <c r="BH1140" s="21"/>
      <c r="BI1140" s="21"/>
      <c r="BJ1140" s="21"/>
      <c r="BK1140" s="21"/>
      <c r="BL1140" s="21"/>
      <c r="BM1140" s="21"/>
      <c r="BN1140" s="21"/>
      <c r="BO1140" s="21"/>
      <c r="BQ1140" s="21"/>
      <c r="BR1140" s="21"/>
      <c r="BS1140" s="21"/>
      <c r="BU1140" s="21"/>
      <c r="BX1140" s="21"/>
      <c r="CG1140" s="21"/>
      <c r="CH1140" s="21"/>
      <c r="CI1140" s="21"/>
      <c r="CJ1140" s="21"/>
    </row>
    <row r="1141" spans="60:88" x14ac:dyDescent="0.25">
      <c r="BH1141" s="21"/>
      <c r="BI1141" s="21"/>
      <c r="BJ1141" s="21"/>
      <c r="BK1141" s="21"/>
      <c r="BL1141" s="21"/>
      <c r="BM1141" s="21"/>
      <c r="BN1141" s="21"/>
      <c r="BO1141" s="21"/>
      <c r="BQ1141" s="21"/>
      <c r="BR1141" s="21"/>
      <c r="BS1141" s="21"/>
      <c r="BU1141" s="21"/>
      <c r="BX1141" s="21"/>
      <c r="CG1141" s="21"/>
      <c r="CH1141" s="21"/>
      <c r="CI1141" s="21"/>
      <c r="CJ1141" s="21"/>
    </row>
    <row r="1142" spans="60:88" x14ac:dyDescent="0.25">
      <c r="BH1142" s="21"/>
      <c r="BI1142" s="21"/>
      <c r="BJ1142" s="21"/>
      <c r="BK1142" s="21"/>
      <c r="BL1142" s="21"/>
      <c r="BM1142" s="21"/>
      <c r="BN1142" s="21"/>
      <c r="BO1142" s="21"/>
      <c r="BQ1142" s="21"/>
      <c r="BR1142" s="21"/>
      <c r="BS1142" s="21"/>
      <c r="BU1142" s="21"/>
      <c r="BX1142" s="21"/>
      <c r="CG1142" s="21"/>
      <c r="CH1142" s="21"/>
      <c r="CI1142" s="21"/>
      <c r="CJ1142" s="21"/>
    </row>
    <row r="1143" spans="60:88" x14ac:dyDescent="0.25">
      <c r="BH1143" s="21"/>
      <c r="BI1143" s="21"/>
      <c r="BJ1143" s="21"/>
      <c r="BK1143" s="21"/>
      <c r="BL1143" s="21"/>
      <c r="BM1143" s="21"/>
      <c r="BN1143" s="21"/>
      <c r="BO1143" s="21"/>
      <c r="BQ1143" s="21"/>
      <c r="BR1143" s="21"/>
      <c r="BS1143" s="21"/>
      <c r="BU1143" s="21"/>
      <c r="BX1143" s="21"/>
      <c r="CG1143" s="21"/>
      <c r="CH1143" s="21"/>
      <c r="CI1143" s="21"/>
      <c r="CJ1143" s="21"/>
    </row>
    <row r="1144" spans="60:88" x14ac:dyDescent="0.25">
      <c r="BH1144" s="21"/>
      <c r="BI1144" s="21"/>
      <c r="BJ1144" s="21"/>
      <c r="BK1144" s="21"/>
      <c r="BL1144" s="21"/>
      <c r="BM1144" s="21"/>
      <c r="BN1144" s="21"/>
      <c r="BO1144" s="21"/>
      <c r="BQ1144" s="21"/>
      <c r="BR1144" s="21"/>
      <c r="BS1144" s="21"/>
      <c r="BU1144" s="21"/>
      <c r="BX1144" s="21"/>
      <c r="CG1144" s="21"/>
      <c r="CH1144" s="21"/>
      <c r="CI1144" s="21"/>
      <c r="CJ1144" s="21"/>
    </row>
    <row r="1145" spans="60:88" x14ac:dyDescent="0.25">
      <c r="BH1145" s="21"/>
      <c r="BI1145" s="21"/>
      <c r="BJ1145" s="21"/>
      <c r="BK1145" s="21"/>
      <c r="BL1145" s="21"/>
      <c r="BM1145" s="21"/>
      <c r="BN1145" s="21"/>
      <c r="BO1145" s="21"/>
      <c r="BQ1145" s="21"/>
      <c r="BR1145" s="21"/>
      <c r="BS1145" s="21"/>
      <c r="BU1145" s="21"/>
      <c r="BX1145" s="21"/>
      <c r="CG1145" s="21"/>
      <c r="CH1145" s="21"/>
      <c r="CI1145" s="21"/>
      <c r="CJ1145" s="21"/>
    </row>
    <row r="1146" spans="60:88" x14ac:dyDescent="0.25">
      <c r="BH1146" s="21"/>
      <c r="BI1146" s="21"/>
      <c r="BJ1146" s="21"/>
      <c r="BK1146" s="21"/>
      <c r="BL1146" s="21"/>
      <c r="BM1146" s="21"/>
      <c r="BN1146" s="21"/>
      <c r="BO1146" s="21"/>
      <c r="BQ1146" s="21"/>
      <c r="BR1146" s="21"/>
      <c r="BS1146" s="21"/>
      <c r="BU1146" s="21"/>
      <c r="BX1146" s="21"/>
      <c r="CG1146" s="21"/>
      <c r="CH1146" s="21"/>
      <c r="CI1146" s="21"/>
      <c r="CJ1146" s="21"/>
    </row>
    <row r="1147" spans="60:88" x14ac:dyDescent="0.25">
      <c r="BH1147" s="21"/>
      <c r="BI1147" s="21"/>
      <c r="BJ1147" s="21"/>
      <c r="BK1147" s="21"/>
      <c r="BL1147" s="21"/>
      <c r="BM1147" s="21"/>
      <c r="BN1147" s="21"/>
      <c r="BO1147" s="21"/>
      <c r="BQ1147" s="21"/>
      <c r="BR1147" s="21"/>
      <c r="BS1147" s="21"/>
      <c r="BU1147" s="21"/>
      <c r="BX1147" s="21"/>
      <c r="CG1147" s="21"/>
      <c r="CH1147" s="21"/>
      <c r="CI1147" s="21"/>
      <c r="CJ1147" s="21"/>
    </row>
    <row r="1148" spans="60:88" x14ac:dyDescent="0.25">
      <c r="BH1148" s="21"/>
      <c r="BI1148" s="21"/>
      <c r="BJ1148" s="21"/>
      <c r="BK1148" s="21"/>
      <c r="BL1148" s="21"/>
      <c r="BM1148" s="21"/>
      <c r="BN1148" s="21"/>
      <c r="BO1148" s="21"/>
      <c r="BQ1148" s="21"/>
      <c r="BR1148" s="21"/>
      <c r="BS1148" s="21"/>
      <c r="BU1148" s="21"/>
      <c r="BX1148" s="21"/>
      <c r="CG1148" s="21"/>
      <c r="CH1148" s="21"/>
      <c r="CI1148" s="21"/>
      <c r="CJ1148" s="21"/>
    </row>
    <row r="1149" spans="60:88" x14ac:dyDescent="0.25">
      <c r="BH1149" s="21"/>
      <c r="BI1149" s="21"/>
      <c r="BJ1149" s="21"/>
      <c r="BK1149" s="21"/>
      <c r="BL1149" s="21"/>
      <c r="BM1149" s="21"/>
      <c r="BN1149" s="21"/>
      <c r="BO1149" s="21"/>
      <c r="BQ1149" s="21"/>
      <c r="BR1149" s="21"/>
      <c r="BS1149" s="21"/>
      <c r="BU1149" s="21"/>
      <c r="BX1149" s="21"/>
      <c r="CG1149" s="21"/>
      <c r="CH1149" s="21"/>
      <c r="CI1149" s="21"/>
      <c r="CJ1149" s="21"/>
    </row>
    <row r="1150" spans="60:88" x14ac:dyDescent="0.25">
      <c r="BH1150" s="21"/>
      <c r="BI1150" s="21"/>
      <c r="BJ1150" s="21"/>
      <c r="BK1150" s="21"/>
      <c r="BL1150" s="21"/>
      <c r="BM1150" s="21"/>
      <c r="BN1150" s="21"/>
      <c r="BO1150" s="21"/>
      <c r="BQ1150" s="21"/>
      <c r="BR1150" s="21"/>
      <c r="BS1150" s="21"/>
      <c r="BU1150" s="21"/>
      <c r="BX1150" s="21"/>
      <c r="CG1150" s="21"/>
      <c r="CH1150" s="21"/>
      <c r="CI1150" s="21"/>
      <c r="CJ1150" s="21"/>
    </row>
    <row r="1151" spans="60:88" x14ac:dyDescent="0.25">
      <c r="BH1151" s="21"/>
      <c r="BI1151" s="21"/>
      <c r="BJ1151" s="21"/>
      <c r="BK1151" s="21"/>
      <c r="BL1151" s="21"/>
      <c r="BM1151" s="21"/>
      <c r="BN1151" s="21"/>
      <c r="BO1151" s="21"/>
      <c r="BQ1151" s="21"/>
      <c r="BR1151" s="21"/>
      <c r="BS1151" s="21"/>
      <c r="BU1151" s="21"/>
      <c r="BX1151" s="21"/>
      <c r="CG1151" s="21"/>
      <c r="CH1151" s="21"/>
      <c r="CI1151" s="21"/>
      <c r="CJ1151" s="21"/>
    </row>
    <row r="1152" spans="60:88" x14ac:dyDescent="0.25">
      <c r="BH1152" s="21"/>
      <c r="BI1152" s="21"/>
      <c r="BJ1152" s="21"/>
      <c r="BK1152" s="21"/>
      <c r="BL1152" s="21"/>
      <c r="BM1152" s="21"/>
      <c r="BN1152" s="21"/>
      <c r="BO1152" s="21"/>
      <c r="BQ1152" s="21"/>
      <c r="BR1152" s="21"/>
      <c r="BS1152" s="21"/>
      <c r="BU1152" s="21"/>
      <c r="BX1152" s="21"/>
      <c r="CG1152" s="21"/>
      <c r="CH1152" s="21"/>
      <c r="CI1152" s="21"/>
      <c r="CJ1152" s="21"/>
    </row>
    <row r="1153" spans="60:88" x14ac:dyDescent="0.25">
      <c r="BH1153" s="21"/>
      <c r="BI1153" s="21"/>
      <c r="BJ1153" s="21"/>
      <c r="BK1153" s="21"/>
      <c r="BL1153" s="21"/>
      <c r="BM1153" s="21"/>
      <c r="BN1153" s="21"/>
      <c r="BO1153" s="21"/>
      <c r="BQ1153" s="21"/>
      <c r="BR1153" s="21"/>
      <c r="BS1153" s="21"/>
      <c r="BU1153" s="21"/>
      <c r="BX1153" s="21"/>
      <c r="CG1153" s="21"/>
      <c r="CH1153" s="21"/>
      <c r="CI1153" s="21"/>
      <c r="CJ1153" s="21"/>
    </row>
    <row r="1154" spans="60:88" x14ac:dyDescent="0.25">
      <c r="BH1154" s="21"/>
      <c r="BI1154" s="21"/>
      <c r="BJ1154" s="21"/>
      <c r="BK1154" s="21"/>
      <c r="BL1154" s="21"/>
      <c r="BM1154" s="21"/>
      <c r="BN1154" s="21"/>
      <c r="BO1154" s="21"/>
      <c r="BQ1154" s="21"/>
      <c r="BR1154" s="21"/>
      <c r="BS1154" s="21"/>
      <c r="BU1154" s="21"/>
      <c r="BX1154" s="21"/>
      <c r="CG1154" s="21"/>
      <c r="CH1154" s="21"/>
      <c r="CI1154" s="21"/>
      <c r="CJ1154" s="21"/>
    </row>
    <row r="1155" spans="60:88" x14ac:dyDescent="0.25">
      <c r="BH1155" s="21"/>
      <c r="BI1155" s="21"/>
      <c r="BJ1155" s="21"/>
      <c r="BK1155" s="21"/>
      <c r="BL1155" s="21"/>
      <c r="BM1155" s="21"/>
      <c r="BN1155" s="21"/>
      <c r="BO1155" s="21"/>
      <c r="BQ1155" s="21"/>
      <c r="BR1155" s="21"/>
      <c r="BS1155" s="21"/>
      <c r="BU1155" s="21"/>
      <c r="BX1155" s="21"/>
      <c r="CG1155" s="21"/>
      <c r="CH1155" s="21"/>
      <c r="CI1155" s="21"/>
      <c r="CJ1155" s="21"/>
    </row>
    <row r="1156" spans="60:88" x14ac:dyDescent="0.25">
      <c r="BH1156" s="21"/>
      <c r="BI1156" s="21"/>
      <c r="BJ1156" s="21"/>
      <c r="BK1156" s="21"/>
      <c r="BL1156" s="21"/>
      <c r="BM1156" s="21"/>
      <c r="BN1156" s="21"/>
      <c r="BO1156" s="21"/>
      <c r="BQ1156" s="21"/>
      <c r="BR1156" s="21"/>
      <c r="BS1156" s="21"/>
      <c r="BU1156" s="21"/>
      <c r="BX1156" s="21"/>
      <c r="CG1156" s="21"/>
      <c r="CH1156" s="21"/>
      <c r="CI1156" s="21"/>
      <c r="CJ1156" s="21"/>
    </row>
    <row r="1157" spans="60:88" x14ac:dyDescent="0.25">
      <c r="BH1157" s="21"/>
      <c r="BI1157" s="21"/>
      <c r="BJ1157" s="21"/>
      <c r="BK1157" s="21"/>
      <c r="BL1157" s="21"/>
      <c r="BM1157" s="21"/>
      <c r="BN1157" s="21"/>
      <c r="BO1157" s="21"/>
      <c r="BQ1157" s="21"/>
      <c r="BR1157" s="21"/>
      <c r="BS1157" s="21"/>
      <c r="BU1157" s="21"/>
      <c r="BX1157" s="21"/>
      <c r="CG1157" s="21"/>
      <c r="CH1157" s="21"/>
      <c r="CI1157" s="21"/>
      <c r="CJ1157" s="21"/>
    </row>
    <row r="1158" spans="60:88" x14ac:dyDescent="0.25">
      <c r="BH1158" s="21"/>
      <c r="BI1158" s="21"/>
      <c r="BJ1158" s="21"/>
      <c r="BK1158" s="21"/>
      <c r="BL1158" s="21"/>
      <c r="BM1158" s="21"/>
      <c r="BN1158" s="21"/>
      <c r="BO1158" s="21"/>
      <c r="BQ1158" s="21"/>
      <c r="BR1158" s="21"/>
      <c r="BS1158" s="21"/>
      <c r="BU1158" s="21"/>
      <c r="BX1158" s="21"/>
      <c r="CG1158" s="21"/>
      <c r="CH1158" s="21"/>
      <c r="CI1158" s="21"/>
      <c r="CJ1158" s="21"/>
    </row>
    <row r="1159" spans="60:88" x14ac:dyDescent="0.25">
      <c r="BH1159" s="21"/>
      <c r="BI1159" s="21"/>
      <c r="BJ1159" s="21"/>
      <c r="BK1159" s="21"/>
      <c r="BL1159" s="21"/>
      <c r="BM1159" s="21"/>
      <c r="BN1159" s="21"/>
      <c r="BO1159" s="21"/>
      <c r="BQ1159" s="21"/>
      <c r="BR1159" s="21"/>
      <c r="BS1159" s="21"/>
      <c r="BU1159" s="21"/>
      <c r="BX1159" s="21"/>
      <c r="CG1159" s="21"/>
      <c r="CH1159" s="21"/>
      <c r="CI1159" s="21"/>
      <c r="CJ1159" s="21"/>
    </row>
    <row r="1160" spans="60:88" x14ac:dyDescent="0.25">
      <c r="BH1160" s="21"/>
      <c r="BI1160" s="21"/>
      <c r="BJ1160" s="21"/>
      <c r="BK1160" s="21"/>
      <c r="BL1160" s="21"/>
      <c r="BM1160" s="21"/>
      <c r="BN1160" s="21"/>
      <c r="BO1160" s="21"/>
      <c r="BQ1160" s="21"/>
      <c r="BR1160" s="21"/>
      <c r="BS1160" s="21"/>
      <c r="BU1160" s="21"/>
      <c r="BX1160" s="21"/>
      <c r="CG1160" s="21"/>
      <c r="CH1160" s="21"/>
      <c r="CI1160" s="21"/>
      <c r="CJ1160" s="21"/>
    </row>
    <row r="1161" spans="60:88" x14ac:dyDescent="0.25">
      <c r="BH1161" s="21"/>
      <c r="BI1161" s="21"/>
      <c r="BJ1161" s="21"/>
      <c r="BK1161" s="21"/>
      <c r="BL1161" s="21"/>
      <c r="BM1161" s="21"/>
      <c r="BN1161" s="21"/>
      <c r="BO1161" s="21"/>
      <c r="BQ1161" s="21"/>
      <c r="BR1161" s="21"/>
      <c r="BS1161" s="21"/>
      <c r="BU1161" s="21"/>
      <c r="BX1161" s="21"/>
      <c r="CG1161" s="21"/>
      <c r="CH1161" s="21"/>
      <c r="CI1161" s="21"/>
      <c r="CJ1161" s="21"/>
    </row>
    <row r="1162" spans="60:88" x14ac:dyDescent="0.25">
      <c r="BH1162" s="21"/>
      <c r="BI1162" s="21"/>
      <c r="BJ1162" s="21"/>
      <c r="BK1162" s="21"/>
      <c r="BL1162" s="21"/>
      <c r="BM1162" s="21"/>
      <c r="BN1162" s="21"/>
      <c r="BO1162" s="21"/>
      <c r="BQ1162" s="21"/>
      <c r="BR1162" s="21"/>
      <c r="BS1162" s="21"/>
      <c r="BU1162" s="21"/>
      <c r="BX1162" s="21"/>
      <c r="CG1162" s="21"/>
      <c r="CH1162" s="21"/>
      <c r="CI1162" s="21"/>
      <c r="CJ1162" s="21"/>
    </row>
    <row r="1163" spans="60:88" x14ac:dyDescent="0.25">
      <c r="BH1163" s="21"/>
      <c r="BI1163" s="21"/>
      <c r="BJ1163" s="21"/>
      <c r="BK1163" s="21"/>
      <c r="BL1163" s="21"/>
      <c r="BM1163" s="21"/>
      <c r="BN1163" s="21"/>
      <c r="BO1163" s="21"/>
      <c r="BQ1163" s="21"/>
      <c r="BR1163" s="21"/>
      <c r="BS1163" s="21"/>
      <c r="BU1163" s="21"/>
      <c r="BX1163" s="21"/>
      <c r="CG1163" s="21"/>
      <c r="CH1163" s="21"/>
      <c r="CI1163" s="21"/>
      <c r="CJ1163" s="21"/>
    </row>
    <row r="1164" spans="60:88" x14ac:dyDescent="0.25">
      <c r="BH1164" s="21"/>
      <c r="BI1164" s="21"/>
      <c r="BJ1164" s="21"/>
      <c r="BK1164" s="21"/>
      <c r="BL1164" s="21"/>
      <c r="BM1164" s="21"/>
      <c r="BN1164" s="21"/>
      <c r="BO1164" s="21"/>
      <c r="BQ1164" s="21"/>
      <c r="BR1164" s="21"/>
      <c r="BS1164" s="21"/>
      <c r="BU1164" s="21"/>
      <c r="BX1164" s="21"/>
      <c r="CG1164" s="21"/>
      <c r="CH1164" s="21"/>
      <c r="CI1164" s="21"/>
      <c r="CJ1164" s="21"/>
    </row>
    <row r="1165" spans="60:88" x14ac:dyDescent="0.25">
      <c r="BH1165" s="21"/>
      <c r="BI1165" s="21"/>
      <c r="BJ1165" s="21"/>
      <c r="BK1165" s="21"/>
      <c r="BL1165" s="21"/>
      <c r="BM1165" s="21"/>
      <c r="BN1165" s="21"/>
      <c r="BO1165" s="21"/>
      <c r="BQ1165" s="21"/>
      <c r="BR1165" s="21"/>
      <c r="BS1165" s="21"/>
      <c r="BU1165" s="21"/>
      <c r="BX1165" s="21"/>
      <c r="CG1165" s="21"/>
      <c r="CH1165" s="21"/>
      <c r="CI1165" s="21"/>
      <c r="CJ1165" s="21"/>
    </row>
    <row r="1166" spans="60:88" x14ac:dyDescent="0.25">
      <c r="BH1166" s="21"/>
      <c r="BI1166" s="21"/>
      <c r="BJ1166" s="21"/>
      <c r="BK1166" s="21"/>
      <c r="BL1166" s="21"/>
      <c r="BM1166" s="21"/>
      <c r="BN1166" s="21"/>
      <c r="BO1166" s="21"/>
      <c r="BQ1166" s="21"/>
      <c r="BR1166" s="21"/>
      <c r="BS1166" s="21"/>
      <c r="BU1166" s="21"/>
      <c r="BX1166" s="21"/>
      <c r="CG1166" s="21"/>
      <c r="CH1166" s="21"/>
      <c r="CI1166" s="21"/>
      <c r="CJ1166" s="21"/>
    </row>
    <row r="1167" spans="60:88" x14ac:dyDescent="0.25">
      <c r="BH1167" s="21"/>
      <c r="BI1167" s="21"/>
      <c r="BJ1167" s="21"/>
      <c r="BK1167" s="21"/>
      <c r="BL1167" s="21"/>
      <c r="BM1167" s="21"/>
      <c r="BN1167" s="21"/>
      <c r="BO1167" s="21"/>
      <c r="BQ1167" s="21"/>
      <c r="BR1167" s="21"/>
      <c r="BS1167" s="21"/>
      <c r="BU1167" s="21"/>
      <c r="BX1167" s="21"/>
      <c r="CG1167" s="21"/>
      <c r="CH1167" s="21"/>
      <c r="CI1167" s="21"/>
      <c r="CJ1167" s="21"/>
    </row>
    <row r="1168" spans="60:88" x14ac:dyDescent="0.25">
      <c r="BH1168" s="21"/>
      <c r="BI1168" s="21"/>
      <c r="BJ1168" s="21"/>
      <c r="BK1168" s="21"/>
      <c r="BL1168" s="21"/>
      <c r="BM1168" s="21"/>
      <c r="BN1168" s="21"/>
      <c r="BO1168" s="21"/>
      <c r="BQ1168" s="21"/>
      <c r="BR1168" s="21"/>
      <c r="BS1168" s="21"/>
      <c r="BU1168" s="21"/>
      <c r="BX1168" s="21"/>
      <c r="CG1168" s="21"/>
      <c r="CH1168" s="21"/>
      <c r="CI1168" s="21"/>
      <c r="CJ1168" s="21"/>
    </row>
    <row r="1169" spans="60:88" x14ac:dyDescent="0.25">
      <c r="BH1169" s="21"/>
      <c r="BI1169" s="21"/>
      <c r="BJ1169" s="21"/>
      <c r="BK1169" s="21"/>
      <c r="BL1169" s="21"/>
      <c r="BM1169" s="21"/>
      <c r="BN1169" s="21"/>
      <c r="BO1169" s="21"/>
      <c r="BQ1169" s="21"/>
      <c r="BR1169" s="21"/>
      <c r="BS1169" s="21"/>
      <c r="BU1169" s="21"/>
      <c r="BX1169" s="21"/>
      <c r="CG1169" s="21"/>
      <c r="CH1169" s="21"/>
      <c r="CI1169" s="21"/>
      <c r="CJ1169" s="21"/>
    </row>
    <row r="1170" spans="60:88" x14ac:dyDescent="0.25">
      <c r="BH1170" s="21"/>
      <c r="BI1170" s="21"/>
      <c r="BJ1170" s="21"/>
      <c r="BK1170" s="21"/>
      <c r="BL1170" s="21"/>
      <c r="BM1170" s="21"/>
      <c r="BN1170" s="21"/>
      <c r="BO1170" s="21"/>
      <c r="BQ1170" s="21"/>
      <c r="BR1170" s="21"/>
      <c r="BS1170" s="21"/>
      <c r="BU1170" s="21"/>
      <c r="BX1170" s="21"/>
      <c r="CG1170" s="21"/>
      <c r="CH1170" s="21"/>
      <c r="CI1170" s="21"/>
      <c r="CJ1170" s="21"/>
    </row>
    <row r="1171" spans="60:88" x14ac:dyDescent="0.25">
      <c r="BH1171" s="21"/>
      <c r="BI1171" s="21"/>
      <c r="BJ1171" s="21"/>
      <c r="BK1171" s="21"/>
      <c r="BL1171" s="21"/>
      <c r="BM1171" s="21"/>
      <c r="BN1171" s="21"/>
      <c r="BO1171" s="21"/>
      <c r="BQ1171" s="21"/>
      <c r="BR1171" s="21"/>
      <c r="BS1171" s="21"/>
      <c r="BU1171" s="21"/>
      <c r="BX1171" s="21"/>
      <c r="CG1171" s="21"/>
      <c r="CH1171" s="21"/>
      <c r="CI1171" s="21"/>
      <c r="CJ1171" s="21"/>
    </row>
    <row r="1172" spans="60:88" x14ac:dyDescent="0.25">
      <c r="BH1172" s="21"/>
      <c r="BI1172" s="21"/>
      <c r="BJ1172" s="21"/>
      <c r="BK1172" s="21"/>
      <c r="BL1172" s="21"/>
      <c r="BM1172" s="21"/>
      <c r="BN1172" s="21"/>
      <c r="BO1172" s="21"/>
      <c r="BQ1172" s="21"/>
      <c r="BR1172" s="21"/>
      <c r="BS1172" s="21"/>
      <c r="BU1172" s="21"/>
      <c r="BX1172" s="21"/>
      <c r="CG1172" s="21"/>
      <c r="CH1172" s="21"/>
      <c r="CI1172" s="21"/>
      <c r="CJ1172" s="21"/>
    </row>
    <row r="1173" spans="60:88" x14ac:dyDescent="0.25">
      <c r="BH1173" s="21"/>
      <c r="BI1173" s="21"/>
      <c r="BJ1173" s="21"/>
      <c r="BK1173" s="21"/>
      <c r="BL1173" s="21"/>
      <c r="BM1173" s="21"/>
      <c r="BN1173" s="21"/>
      <c r="BO1173" s="21"/>
      <c r="BQ1173" s="21"/>
      <c r="BR1173" s="21"/>
      <c r="BS1173" s="21"/>
      <c r="BU1173" s="21"/>
      <c r="BX1173" s="21"/>
      <c r="CG1173" s="21"/>
      <c r="CH1173" s="21"/>
      <c r="CI1173" s="21"/>
      <c r="CJ1173" s="21"/>
    </row>
    <row r="1174" spans="60:88" x14ac:dyDescent="0.25">
      <c r="BH1174" s="21"/>
      <c r="BI1174" s="21"/>
      <c r="BJ1174" s="21"/>
      <c r="BK1174" s="21"/>
      <c r="BL1174" s="21"/>
      <c r="BM1174" s="21"/>
      <c r="BN1174" s="21"/>
      <c r="BO1174" s="21"/>
      <c r="BQ1174" s="21"/>
      <c r="BR1174" s="21"/>
      <c r="BS1174" s="21"/>
      <c r="BU1174" s="21"/>
      <c r="BX1174" s="21"/>
      <c r="CG1174" s="21"/>
      <c r="CH1174" s="21"/>
      <c r="CI1174" s="21"/>
      <c r="CJ1174" s="21"/>
    </row>
    <row r="1175" spans="60:88" x14ac:dyDescent="0.25">
      <c r="BH1175" s="21"/>
      <c r="BI1175" s="21"/>
      <c r="BJ1175" s="21"/>
      <c r="BK1175" s="21"/>
      <c r="BL1175" s="21"/>
      <c r="BM1175" s="21"/>
      <c r="BN1175" s="21"/>
      <c r="BO1175" s="21"/>
      <c r="BQ1175" s="21"/>
      <c r="BR1175" s="21"/>
      <c r="BS1175" s="21"/>
      <c r="BU1175" s="21"/>
      <c r="BX1175" s="21"/>
      <c r="CG1175" s="21"/>
      <c r="CH1175" s="21"/>
      <c r="CI1175" s="21"/>
      <c r="CJ1175" s="21"/>
    </row>
    <row r="1176" spans="60:88" x14ac:dyDescent="0.25">
      <c r="BH1176" s="21"/>
      <c r="BI1176" s="21"/>
      <c r="BJ1176" s="21"/>
      <c r="BK1176" s="21"/>
      <c r="BL1176" s="21"/>
      <c r="BM1176" s="21"/>
      <c r="BN1176" s="21"/>
      <c r="BO1176" s="21"/>
      <c r="BQ1176" s="21"/>
      <c r="BR1176" s="21"/>
      <c r="BS1176" s="21"/>
      <c r="BU1176" s="21"/>
      <c r="BX1176" s="21"/>
      <c r="CG1176" s="21"/>
      <c r="CH1176" s="21"/>
      <c r="CI1176" s="21"/>
      <c r="CJ1176" s="21"/>
    </row>
    <row r="1177" spans="60:88" x14ac:dyDescent="0.25">
      <c r="BH1177" s="21"/>
      <c r="BI1177" s="21"/>
      <c r="BJ1177" s="21"/>
      <c r="BK1177" s="21"/>
      <c r="BL1177" s="21"/>
      <c r="BM1177" s="21"/>
      <c r="BN1177" s="21"/>
      <c r="BO1177" s="21"/>
      <c r="BQ1177" s="21"/>
      <c r="BR1177" s="21"/>
      <c r="BS1177" s="21"/>
      <c r="BU1177" s="21"/>
      <c r="BX1177" s="21"/>
      <c r="CG1177" s="21"/>
      <c r="CH1177" s="21"/>
      <c r="CI1177" s="21"/>
      <c r="CJ1177" s="21"/>
    </row>
    <row r="1178" spans="60:88" x14ac:dyDescent="0.25">
      <c r="BH1178" s="21"/>
      <c r="BI1178" s="21"/>
      <c r="BJ1178" s="21"/>
      <c r="BK1178" s="21"/>
      <c r="BL1178" s="21"/>
      <c r="BM1178" s="21"/>
      <c r="BN1178" s="21"/>
      <c r="BO1178" s="21"/>
      <c r="BQ1178" s="21"/>
      <c r="BR1178" s="21"/>
      <c r="BS1178" s="21"/>
      <c r="BU1178" s="21"/>
      <c r="BX1178" s="21"/>
      <c r="CG1178" s="21"/>
      <c r="CH1178" s="21"/>
      <c r="CI1178" s="21"/>
      <c r="CJ1178" s="21"/>
    </row>
    <row r="1179" spans="60:88" x14ac:dyDescent="0.25">
      <c r="BH1179" s="21"/>
      <c r="BI1179" s="21"/>
      <c r="BJ1179" s="21"/>
      <c r="BK1179" s="21"/>
      <c r="BL1179" s="21"/>
      <c r="BM1179" s="21"/>
      <c r="BN1179" s="21"/>
      <c r="BO1179" s="21"/>
      <c r="BQ1179" s="21"/>
      <c r="BR1179" s="21"/>
      <c r="BS1179" s="21"/>
      <c r="BU1179" s="21"/>
      <c r="BX1179" s="21"/>
      <c r="CG1179" s="21"/>
      <c r="CH1179" s="21"/>
      <c r="CI1179" s="21"/>
      <c r="CJ1179" s="21"/>
    </row>
    <row r="1180" spans="60:88" x14ac:dyDescent="0.25">
      <c r="BH1180" s="21"/>
      <c r="BI1180" s="21"/>
      <c r="BJ1180" s="21"/>
      <c r="BK1180" s="21"/>
      <c r="BL1180" s="21"/>
      <c r="BM1180" s="21"/>
      <c r="BN1180" s="21"/>
      <c r="BO1180" s="21"/>
      <c r="BQ1180" s="21"/>
      <c r="BR1180" s="21"/>
      <c r="BS1180" s="21"/>
      <c r="BU1180" s="21"/>
      <c r="BX1180" s="21"/>
      <c r="CG1180" s="21"/>
      <c r="CH1180" s="21"/>
      <c r="CI1180" s="21"/>
      <c r="CJ1180" s="21"/>
    </row>
    <row r="1181" spans="60:88" x14ac:dyDescent="0.25">
      <c r="BH1181" s="21"/>
      <c r="BI1181" s="21"/>
      <c r="BJ1181" s="21"/>
      <c r="BK1181" s="21"/>
      <c r="BL1181" s="21"/>
      <c r="BM1181" s="21"/>
      <c r="BN1181" s="21"/>
      <c r="BO1181" s="21"/>
      <c r="BQ1181" s="21"/>
      <c r="BR1181" s="21"/>
      <c r="BS1181" s="21"/>
      <c r="BU1181" s="21"/>
      <c r="BX1181" s="21"/>
      <c r="CG1181" s="21"/>
      <c r="CH1181" s="21"/>
      <c r="CI1181" s="21"/>
      <c r="CJ1181" s="21"/>
    </row>
    <row r="1182" spans="60:88" x14ac:dyDescent="0.25">
      <c r="BH1182" s="21"/>
      <c r="BI1182" s="21"/>
      <c r="BJ1182" s="21"/>
      <c r="BK1182" s="21"/>
      <c r="BL1182" s="21"/>
      <c r="BM1182" s="21"/>
      <c r="BN1182" s="21"/>
      <c r="BO1182" s="21"/>
      <c r="BQ1182" s="21"/>
      <c r="BR1182" s="21"/>
      <c r="BS1182" s="21"/>
      <c r="BU1182" s="21"/>
      <c r="BX1182" s="21"/>
      <c r="CG1182" s="21"/>
      <c r="CH1182" s="21"/>
      <c r="CI1182" s="21"/>
      <c r="CJ1182" s="21"/>
    </row>
    <row r="1183" spans="60:88" x14ac:dyDescent="0.25">
      <c r="BH1183" s="21"/>
      <c r="BI1183" s="21"/>
      <c r="BJ1183" s="21"/>
      <c r="BK1183" s="21"/>
      <c r="BL1183" s="21"/>
      <c r="BM1183" s="21"/>
      <c r="BN1183" s="21"/>
      <c r="BO1183" s="21"/>
      <c r="BQ1183" s="21"/>
      <c r="BR1183" s="21"/>
      <c r="BS1183" s="21"/>
      <c r="BU1183" s="21"/>
      <c r="BX1183" s="21"/>
      <c r="CG1183" s="21"/>
      <c r="CH1183" s="21"/>
      <c r="CI1183" s="21"/>
      <c r="CJ1183" s="21"/>
    </row>
    <row r="1184" spans="60:88" x14ac:dyDescent="0.25">
      <c r="BH1184" s="21"/>
      <c r="BI1184" s="21"/>
      <c r="BJ1184" s="21"/>
      <c r="BK1184" s="21"/>
      <c r="BL1184" s="21"/>
      <c r="BM1184" s="21"/>
      <c r="BN1184" s="21"/>
      <c r="BO1184" s="21"/>
      <c r="BQ1184" s="21"/>
      <c r="BR1184" s="21"/>
      <c r="BS1184" s="21"/>
      <c r="BU1184" s="21"/>
      <c r="BX1184" s="21"/>
      <c r="CG1184" s="21"/>
      <c r="CH1184" s="21"/>
      <c r="CI1184" s="21"/>
      <c r="CJ1184" s="21"/>
    </row>
    <row r="1185" spans="60:88" x14ac:dyDescent="0.25">
      <c r="BH1185" s="21"/>
      <c r="BI1185" s="21"/>
      <c r="BJ1185" s="21"/>
      <c r="BK1185" s="21"/>
      <c r="BL1185" s="21"/>
      <c r="BM1185" s="21"/>
      <c r="BN1185" s="21"/>
      <c r="BO1185" s="21"/>
      <c r="BQ1185" s="21"/>
      <c r="BR1185" s="21"/>
      <c r="BS1185" s="21"/>
      <c r="BU1185" s="21"/>
      <c r="BX1185" s="21"/>
      <c r="CG1185" s="21"/>
      <c r="CH1185" s="21"/>
      <c r="CI1185" s="21"/>
      <c r="CJ1185" s="21"/>
    </row>
    <row r="1186" spans="60:88" x14ac:dyDescent="0.25">
      <c r="BH1186" s="21"/>
      <c r="BI1186" s="21"/>
      <c r="BJ1186" s="21"/>
      <c r="BK1186" s="21"/>
      <c r="BL1186" s="21"/>
      <c r="BM1186" s="21"/>
      <c r="BN1186" s="21"/>
      <c r="BO1186" s="21"/>
      <c r="BQ1186" s="21"/>
      <c r="BR1186" s="21"/>
      <c r="BS1186" s="21"/>
      <c r="BU1186" s="21"/>
      <c r="BX1186" s="21"/>
      <c r="CG1186" s="21"/>
      <c r="CH1186" s="21"/>
      <c r="CI1186" s="21"/>
      <c r="CJ1186" s="21"/>
    </row>
    <row r="1187" spans="60:88" x14ac:dyDescent="0.25">
      <c r="BH1187" s="21"/>
      <c r="BI1187" s="21"/>
      <c r="BJ1187" s="21"/>
      <c r="BK1187" s="21"/>
      <c r="BL1187" s="21"/>
      <c r="BM1187" s="21"/>
      <c r="BN1187" s="21"/>
      <c r="BO1187" s="21"/>
      <c r="BQ1187" s="21"/>
      <c r="BR1187" s="21"/>
      <c r="BS1187" s="21"/>
      <c r="BU1187" s="21"/>
      <c r="BX1187" s="21"/>
      <c r="CG1187" s="21"/>
      <c r="CH1187" s="21"/>
      <c r="CI1187" s="21"/>
      <c r="CJ1187" s="21"/>
    </row>
    <row r="1188" spans="60:88" x14ac:dyDescent="0.25">
      <c r="BH1188" s="21"/>
      <c r="BI1188" s="21"/>
      <c r="BJ1188" s="21"/>
      <c r="BK1188" s="21"/>
      <c r="BL1188" s="21"/>
      <c r="BM1188" s="21"/>
      <c r="BN1188" s="21"/>
      <c r="BO1188" s="21"/>
      <c r="BQ1188" s="21"/>
      <c r="BR1188" s="21"/>
      <c r="BS1188" s="21"/>
      <c r="BU1188" s="21"/>
      <c r="BX1188" s="21"/>
      <c r="CG1188" s="21"/>
      <c r="CH1188" s="21"/>
      <c r="CI1188" s="21"/>
      <c r="CJ1188" s="21"/>
    </row>
    <row r="1189" spans="60:88" x14ac:dyDescent="0.25">
      <c r="BH1189" s="21"/>
      <c r="BI1189" s="21"/>
      <c r="BJ1189" s="21"/>
      <c r="BK1189" s="21"/>
      <c r="BL1189" s="21"/>
      <c r="BM1189" s="21"/>
      <c r="BN1189" s="21"/>
      <c r="BO1189" s="21"/>
      <c r="BQ1189" s="21"/>
      <c r="BR1189" s="21"/>
      <c r="BS1189" s="21"/>
      <c r="BU1189" s="21"/>
      <c r="BX1189" s="21"/>
      <c r="CG1189" s="21"/>
      <c r="CH1189" s="21"/>
      <c r="CI1189" s="21"/>
      <c r="CJ1189" s="21"/>
    </row>
    <row r="1190" spans="60:88" x14ac:dyDescent="0.25">
      <c r="BH1190" s="21"/>
      <c r="BI1190" s="21"/>
      <c r="BJ1190" s="21"/>
      <c r="BK1190" s="21"/>
      <c r="BL1190" s="21"/>
      <c r="BM1190" s="21"/>
      <c r="BN1190" s="21"/>
      <c r="BO1190" s="21"/>
      <c r="BQ1190" s="21"/>
      <c r="BR1190" s="21"/>
      <c r="BS1190" s="21"/>
      <c r="BU1190" s="21"/>
      <c r="BX1190" s="21"/>
      <c r="CG1190" s="21"/>
      <c r="CH1190" s="21"/>
      <c r="CI1190" s="21"/>
      <c r="CJ1190" s="21"/>
    </row>
    <row r="1191" spans="60:88" x14ac:dyDescent="0.25">
      <c r="BH1191" s="21"/>
      <c r="BI1191" s="21"/>
      <c r="BJ1191" s="21"/>
      <c r="BK1191" s="21"/>
      <c r="BL1191" s="21"/>
      <c r="BM1191" s="21"/>
      <c r="BN1191" s="21"/>
      <c r="BO1191" s="21"/>
      <c r="BQ1191" s="21"/>
      <c r="BR1191" s="21"/>
      <c r="BS1191" s="21"/>
      <c r="BU1191" s="21"/>
      <c r="BX1191" s="21"/>
      <c r="CG1191" s="21"/>
      <c r="CH1191" s="21"/>
      <c r="CI1191" s="21"/>
      <c r="CJ1191" s="21"/>
    </row>
    <row r="1192" spans="60:88" x14ac:dyDescent="0.25">
      <c r="BH1192" s="21"/>
      <c r="BI1192" s="21"/>
      <c r="BJ1192" s="21"/>
      <c r="BK1192" s="21"/>
      <c r="BL1192" s="21"/>
      <c r="BM1192" s="21"/>
      <c r="BN1192" s="21"/>
      <c r="BO1192" s="21"/>
      <c r="BQ1192" s="21"/>
      <c r="BR1192" s="21"/>
      <c r="BS1192" s="21"/>
      <c r="BU1192" s="21"/>
      <c r="BX1192" s="21"/>
      <c r="CG1192" s="21"/>
      <c r="CH1192" s="21"/>
      <c r="CI1192" s="21"/>
      <c r="CJ1192" s="21"/>
    </row>
    <row r="1193" spans="60:88" x14ac:dyDescent="0.25">
      <c r="BH1193" s="21"/>
      <c r="BI1193" s="21"/>
      <c r="BJ1193" s="21"/>
      <c r="BK1193" s="21"/>
      <c r="BL1193" s="21"/>
      <c r="BM1193" s="21"/>
      <c r="BN1193" s="21"/>
      <c r="BO1193" s="21"/>
      <c r="BQ1193" s="21"/>
      <c r="BR1193" s="21"/>
      <c r="BS1193" s="21"/>
      <c r="BU1193" s="21"/>
      <c r="BX1193" s="21"/>
      <c r="CG1193" s="21"/>
      <c r="CH1193" s="21"/>
      <c r="CI1193" s="21"/>
      <c r="CJ1193" s="21"/>
    </row>
    <row r="1194" spans="60:88" x14ac:dyDescent="0.25">
      <c r="BH1194" s="21"/>
      <c r="BI1194" s="21"/>
      <c r="BJ1194" s="21"/>
      <c r="BK1194" s="21"/>
      <c r="BL1194" s="21"/>
      <c r="BM1194" s="21"/>
      <c r="BN1194" s="21"/>
      <c r="BO1194" s="21"/>
      <c r="BQ1194" s="21"/>
      <c r="BR1194" s="21"/>
      <c r="BS1194" s="21"/>
      <c r="BU1194" s="21"/>
      <c r="BX1194" s="21"/>
      <c r="CG1194" s="21"/>
      <c r="CH1194" s="21"/>
      <c r="CI1194" s="21"/>
      <c r="CJ1194" s="21"/>
    </row>
    <row r="1195" spans="60:88" x14ac:dyDescent="0.25">
      <c r="BH1195" s="21"/>
      <c r="BI1195" s="21"/>
      <c r="BJ1195" s="21"/>
      <c r="BK1195" s="21"/>
      <c r="BL1195" s="21"/>
      <c r="BM1195" s="21"/>
      <c r="BN1195" s="21"/>
      <c r="BO1195" s="21"/>
      <c r="BQ1195" s="21"/>
      <c r="BR1195" s="21"/>
      <c r="BS1195" s="21"/>
      <c r="BU1195" s="21"/>
      <c r="BX1195" s="21"/>
      <c r="CG1195" s="21"/>
      <c r="CH1195" s="21"/>
      <c r="CI1195" s="21"/>
      <c r="CJ1195" s="21"/>
    </row>
    <row r="1196" spans="60:88" x14ac:dyDescent="0.25">
      <c r="BH1196" s="21"/>
      <c r="BI1196" s="21"/>
      <c r="BJ1196" s="21"/>
      <c r="BK1196" s="21"/>
      <c r="BL1196" s="21"/>
      <c r="BM1196" s="21"/>
      <c r="BN1196" s="21"/>
      <c r="BO1196" s="21"/>
      <c r="BQ1196" s="21"/>
      <c r="BR1196" s="21"/>
      <c r="BS1196" s="21"/>
      <c r="BU1196" s="21"/>
      <c r="BX1196" s="21"/>
      <c r="CG1196" s="21"/>
      <c r="CH1196" s="21"/>
      <c r="CI1196" s="21"/>
      <c r="CJ1196" s="21"/>
    </row>
    <row r="1197" spans="60:88" x14ac:dyDescent="0.25">
      <c r="BH1197" s="21"/>
      <c r="BI1197" s="21"/>
      <c r="BJ1197" s="21"/>
      <c r="BK1197" s="21"/>
      <c r="BL1197" s="21"/>
      <c r="BM1197" s="21"/>
      <c r="BN1197" s="21"/>
      <c r="BO1197" s="21"/>
      <c r="BQ1197" s="21"/>
      <c r="BR1197" s="21"/>
      <c r="BS1197" s="21"/>
      <c r="BU1197" s="21"/>
      <c r="BX1197" s="21"/>
      <c r="CG1197" s="21"/>
      <c r="CH1197" s="21"/>
      <c r="CI1197" s="21"/>
      <c r="CJ1197" s="21"/>
    </row>
    <row r="1198" spans="60:88" x14ac:dyDescent="0.25">
      <c r="BH1198" s="21"/>
      <c r="BI1198" s="21"/>
      <c r="BJ1198" s="21"/>
      <c r="BK1198" s="21"/>
      <c r="BL1198" s="21"/>
      <c r="BM1198" s="21"/>
      <c r="BN1198" s="21"/>
      <c r="BO1198" s="21"/>
      <c r="BQ1198" s="21"/>
      <c r="BR1198" s="21"/>
      <c r="BS1198" s="21"/>
      <c r="BU1198" s="21"/>
      <c r="BX1198" s="21"/>
      <c r="CG1198" s="21"/>
      <c r="CH1198" s="21"/>
      <c r="CI1198" s="21"/>
      <c r="CJ1198" s="21"/>
    </row>
    <row r="1199" spans="60:88" x14ac:dyDescent="0.25">
      <c r="BH1199" s="21"/>
      <c r="BI1199" s="21"/>
      <c r="BJ1199" s="21"/>
      <c r="BK1199" s="21"/>
      <c r="BL1199" s="21"/>
      <c r="BM1199" s="21"/>
      <c r="BN1199" s="21"/>
      <c r="BO1199" s="21"/>
      <c r="BQ1199" s="21"/>
      <c r="BR1199" s="21"/>
      <c r="BS1199" s="21"/>
      <c r="BU1199" s="21"/>
      <c r="BX1199" s="21"/>
      <c r="CG1199" s="21"/>
      <c r="CH1199" s="21"/>
      <c r="CI1199" s="21"/>
      <c r="CJ1199" s="21"/>
    </row>
    <row r="1200" spans="60:88" x14ac:dyDescent="0.25">
      <c r="BH1200" s="21"/>
      <c r="BI1200" s="21"/>
      <c r="BJ1200" s="21"/>
      <c r="BK1200" s="21"/>
      <c r="BL1200" s="21"/>
      <c r="BM1200" s="21"/>
      <c r="BN1200" s="21"/>
      <c r="BO1200" s="21"/>
      <c r="BQ1200" s="21"/>
      <c r="BR1200" s="21"/>
      <c r="BS1200" s="21"/>
      <c r="BU1200" s="21"/>
      <c r="BX1200" s="21"/>
      <c r="CG1200" s="21"/>
      <c r="CH1200" s="21"/>
      <c r="CI1200" s="21"/>
      <c r="CJ1200" s="21"/>
    </row>
    <row r="1201" spans="60:88" x14ac:dyDescent="0.25">
      <c r="BH1201" s="21"/>
      <c r="BI1201" s="21"/>
      <c r="BJ1201" s="21"/>
      <c r="BK1201" s="21"/>
      <c r="BL1201" s="21"/>
      <c r="BM1201" s="21"/>
      <c r="BN1201" s="21"/>
      <c r="BO1201" s="21"/>
      <c r="BQ1201" s="21"/>
      <c r="BR1201" s="21"/>
      <c r="BS1201" s="21"/>
      <c r="BU1201" s="21"/>
      <c r="BX1201" s="21"/>
      <c r="CG1201" s="21"/>
      <c r="CH1201" s="21"/>
      <c r="CI1201" s="21"/>
      <c r="CJ1201" s="21"/>
    </row>
    <row r="1202" spans="60:88" x14ac:dyDescent="0.25">
      <c r="BH1202" s="21"/>
      <c r="BI1202" s="21"/>
      <c r="BJ1202" s="21"/>
      <c r="BK1202" s="21"/>
      <c r="BL1202" s="21"/>
      <c r="BM1202" s="21"/>
      <c r="BN1202" s="21"/>
      <c r="BO1202" s="21"/>
      <c r="BQ1202" s="21"/>
      <c r="BR1202" s="21"/>
      <c r="BS1202" s="21"/>
      <c r="BU1202" s="21"/>
      <c r="BX1202" s="21"/>
      <c r="CG1202" s="21"/>
      <c r="CH1202" s="21"/>
      <c r="CI1202" s="21"/>
      <c r="CJ1202" s="21"/>
    </row>
    <row r="1203" spans="60:88" x14ac:dyDescent="0.25">
      <c r="BH1203" s="21"/>
      <c r="BI1203" s="21"/>
      <c r="BJ1203" s="21"/>
      <c r="BK1203" s="21"/>
      <c r="BL1203" s="21"/>
      <c r="BM1203" s="21"/>
      <c r="BN1203" s="21"/>
      <c r="BO1203" s="21"/>
      <c r="BQ1203" s="21"/>
      <c r="BR1203" s="21"/>
      <c r="BS1203" s="21"/>
      <c r="BU1203" s="21"/>
      <c r="BX1203" s="21"/>
      <c r="CG1203" s="21"/>
      <c r="CH1203" s="21"/>
      <c r="CI1203" s="21"/>
      <c r="CJ1203" s="21"/>
    </row>
    <row r="1204" spans="60:88" x14ac:dyDescent="0.25">
      <c r="BH1204" s="21"/>
      <c r="BI1204" s="21"/>
      <c r="BJ1204" s="21"/>
      <c r="BK1204" s="21"/>
      <c r="BL1204" s="21"/>
      <c r="BM1204" s="21"/>
      <c r="BN1204" s="21"/>
      <c r="BO1204" s="21"/>
      <c r="BQ1204" s="21"/>
      <c r="BR1204" s="21"/>
      <c r="BS1204" s="21"/>
      <c r="BU1204" s="21"/>
      <c r="BX1204" s="21"/>
      <c r="CG1204" s="21"/>
      <c r="CH1204" s="21"/>
      <c r="CI1204" s="21"/>
      <c r="CJ1204" s="21"/>
    </row>
    <row r="1205" spans="60:88" x14ac:dyDescent="0.25">
      <c r="BH1205" s="21"/>
      <c r="BI1205" s="21"/>
      <c r="BJ1205" s="21"/>
      <c r="BK1205" s="21"/>
      <c r="BL1205" s="21"/>
      <c r="BM1205" s="21"/>
      <c r="BN1205" s="21"/>
      <c r="BO1205" s="21"/>
      <c r="BQ1205" s="21"/>
      <c r="BR1205" s="21"/>
      <c r="BS1205" s="21"/>
      <c r="BU1205" s="21"/>
      <c r="BX1205" s="21"/>
      <c r="CG1205" s="21"/>
      <c r="CH1205" s="21"/>
      <c r="CI1205" s="21"/>
      <c r="CJ1205" s="21"/>
    </row>
    <row r="1206" spans="60:88" x14ac:dyDescent="0.25">
      <c r="BH1206" s="21"/>
      <c r="BI1206" s="21"/>
      <c r="BJ1206" s="21"/>
      <c r="BK1206" s="21"/>
      <c r="BL1206" s="21"/>
      <c r="BM1206" s="21"/>
      <c r="BN1206" s="21"/>
      <c r="BO1206" s="21"/>
      <c r="BQ1206" s="21"/>
      <c r="BR1206" s="21"/>
      <c r="BS1206" s="21"/>
      <c r="BU1206" s="21"/>
      <c r="BX1206" s="21"/>
      <c r="CG1206" s="21"/>
      <c r="CH1206" s="21"/>
      <c r="CI1206" s="21"/>
      <c r="CJ1206" s="21"/>
    </row>
    <row r="1207" spans="60:88" x14ac:dyDescent="0.25">
      <c r="BH1207" s="21"/>
      <c r="BI1207" s="21"/>
      <c r="BJ1207" s="21"/>
      <c r="BK1207" s="21"/>
      <c r="BL1207" s="21"/>
      <c r="BM1207" s="21"/>
      <c r="BN1207" s="21"/>
      <c r="BO1207" s="21"/>
      <c r="BQ1207" s="21"/>
      <c r="BR1207" s="21"/>
      <c r="BS1207" s="21"/>
      <c r="BU1207" s="21"/>
      <c r="BX1207" s="21"/>
      <c r="CG1207" s="21"/>
      <c r="CH1207" s="21"/>
      <c r="CI1207" s="21"/>
      <c r="CJ1207" s="21"/>
    </row>
    <row r="1208" spans="60:88" x14ac:dyDescent="0.25">
      <c r="BH1208" s="21"/>
      <c r="BI1208" s="21"/>
      <c r="BJ1208" s="21"/>
      <c r="BK1208" s="21"/>
      <c r="BL1208" s="21"/>
      <c r="BM1208" s="21"/>
      <c r="BN1208" s="21"/>
      <c r="BO1208" s="21"/>
      <c r="BQ1208" s="21"/>
      <c r="BR1208" s="21"/>
      <c r="BS1208" s="21"/>
      <c r="BU1208" s="21"/>
      <c r="BX1208" s="21"/>
      <c r="CG1208" s="21"/>
      <c r="CH1208" s="21"/>
      <c r="CI1208" s="21"/>
      <c r="CJ1208" s="21"/>
    </row>
    <row r="1209" spans="60:88" x14ac:dyDescent="0.25">
      <c r="BH1209" s="21"/>
      <c r="BI1209" s="21"/>
      <c r="BJ1209" s="21"/>
      <c r="BK1209" s="21"/>
      <c r="BL1209" s="21"/>
      <c r="BM1209" s="21"/>
      <c r="BN1209" s="21"/>
      <c r="BO1209" s="21"/>
      <c r="BQ1209" s="21"/>
      <c r="BR1209" s="21"/>
      <c r="BS1209" s="21"/>
      <c r="BU1209" s="21"/>
      <c r="BX1209" s="21"/>
      <c r="CG1209" s="21"/>
      <c r="CH1209" s="21"/>
      <c r="CI1209" s="21"/>
      <c r="CJ1209" s="21"/>
    </row>
    <row r="1210" spans="60:88" x14ac:dyDescent="0.25">
      <c r="BH1210" s="21"/>
      <c r="BI1210" s="21"/>
      <c r="BJ1210" s="21"/>
      <c r="BK1210" s="21"/>
      <c r="BL1210" s="21"/>
      <c r="BM1210" s="21"/>
      <c r="BN1210" s="21"/>
      <c r="BO1210" s="21"/>
      <c r="BQ1210" s="21"/>
      <c r="BR1210" s="21"/>
      <c r="BS1210" s="21"/>
      <c r="BU1210" s="21"/>
      <c r="BX1210" s="21"/>
      <c r="CG1210" s="21"/>
      <c r="CH1210" s="21"/>
      <c r="CI1210" s="21"/>
      <c r="CJ1210" s="21"/>
    </row>
    <row r="1211" spans="60:88" x14ac:dyDescent="0.25">
      <c r="BH1211" s="21"/>
      <c r="BI1211" s="21"/>
      <c r="BJ1211" s="21"/>
      <c r="BK1211" s="21"/>
      <c r="BL1211" s="21"/>
      <c r="BM1211" s="21"/>
      <c r="BN1211" s="21"/>
      <c r="BO1211" s="21"/>
      <c r="BQ1211" s="21"/>
      <c r="BR1211" s="21"/>
      <c r="BS1211" s="21"/>
      <c r="BU1211" s="21"/>
      <c r="BX1211" s="21"/>
      <c r="CG1211" s="21"/>
      <c r="CH1211" s="21"/>
      <c r="CI1211" s="21"/>
      <c r="CJ1211" s="21"/>
    </row>
    <row r="1212" spans="60:88" x14ac:dyDescent="0.25">
      <c r="BH1212" s="21"/>
      <c r="BI1212" s="21"/>
      <c r="BJ1212" s="21"/>
      <c r="BK1212" s="21"/>
      <c r="BL1212" s="21"/>
      <c r="BM1212" s="21"/>
      <c r="BN1212" s="21"/>
      <c r="BO1212" s="21"/>
      <c r="BQ1212" s="21"/>
      <c r="BR1212" s="21"/>
      <c r="BS1212" s="21"/>
      <c r="BU1212" s="21"/>
      <c r="BX1212" s="21"/>
      <c r="CG1212" s="21"/>
      <c r="CH1212" s="21"/>
      <c r="CI1212" s="21"/>
      <c r="CJ1212" s="21"/>
    </row>
    <row r="1213" spans="60:88" x14ac:dyDescent="0.25">
      <c r="BH1213" s="21"/>
      <c r="BI1213" s="21"/>
      <c r="BJ1213" s="21"/>
      <c r="BK1213" s="21"/>
      <c r="BL1213" s="21"/>
      <c r="BM1213" s="21"/>
      <c r="BN1213" s="21"/>
      <c r="BO1213" s="21"/>
      <c r="BQ1213" s="21"/>
      <c r="BR1213" s="21"/>
      <c r="BS1213" s="21"/>
      <c r="BU1213" s="21"/>
      <c r="BX1213" s="21"/>
      <c r="CG1213" s="21"/>
      <c r="CH1213" s="21"/>
      <c r="CI1213" s="21"/>
      <c r="CJ1213" s="21"/>
    </row>
    <row r="1214" spans="60:88" x14ac:dyDescent="0.25">
      <c r="BH1214" s="21"/>
      <c r="BI1214" s="21"/>
      <c r="BJ1214" s="21"/>
      <c r="BK1214" s="21"/>
      <c r="BL1214" s="21"/>
      <c r="BM1214" s="21"/>
      <c r="BN1214" s="21"/>
      <c r="BO1214" s="21"/>
      <c r="BQ1214" s="21"/>
      <c r="BR1214" s="21"/>
      <c r="BS1214" s="21"/>
      <c r="BU1214" s="21"/>
      <c r="BX1214" s="21"/>
      <c r="CG1214" s="21"/>
      <c r="CH1214" s="21"/>
      <c r="CI1214" s="21"/>
      <c r="CJ1214" s="21"/>
    </row>
    <row r="1215" spans="60:88" x14ac:dyDescent="0.25">
      <c r="BH1215" s="21"/>
      <c r="BI1215" s="21"/>
      <c r="BJ1215" s="21"/>
      <c r="BK1215" s="21"/>
      <c r="BL1215" s="21"/>
      <c r="BM1215" s="21"/>
      <c r="BN1215" s="21"/>
      <c r="BO1215" s="21"/>
      <c r="BQ1215" s="21"/>
      <c r="BR1215" s="21"/>
      <c r="BS1215" s="21"/>
      <c r="BU1215" s="21"/>
      <c r="BX1215" s="21"/>
      <c r="CG1215" s="21"/>
      <c r="CH1215" s="21"/>
      <c r="CI1215" s="21"/>
      <c r="CJ1215" s="21"/>
    </row>
    <row r="1216" spans="60:88" x14ac:dyDescent="0.25">
      <c r="BH1216" s="21"/>
      <c r="BI1216" s="21"/>
      <c r="BJ1216" s="21"/>
      <c r="BK1216" s="21"/>
      <c r="BL1216" s="21"/>
      <c r="BM1216" s="21"/>
      <c r="BN1216" s="21"/>
      <c r="BO1216" s="21"/>
      <c r="BQ1216" s="21"/>
      <c r="BR1216" s="21"/>
      <c r="BS1216" s="21"/>
      <c r="BU1216" s="21"/>
      <c r="BX1216" s="21"/>
      <c r="CG1216" s="21"/>
      <c r="CH1216" s="21"/>
      <c r="CI1216" s="21"/>
      <c r="CJ1216" s="21"/>
    </row>
    <row r="1217" spans="60:88" x14ac:dyDescent="0.25">
      <c r="BH1217" s="21"/>
      <c r="BI1217" s="21"/>
      <c r="BJ1217" s="21"/>
      <c r="BK1217" s="21"/>
      <c r="BL1217" s="21"/>
      <c r="BM1217" s="21"/>
      <c r="BN1217" s="21"/>
      <c r="BO1217" s="21"/>
      <c r="BQ1217" s="21"/>
      <c r="BR1217" s="21"/>
      <c r="BS1217" s="21"/>
      <c r="BU1217" s="21"/>
      <c r="BX1217" s="21"/>
      <c r="CG1217" s="21"/>
      <c r="CH1217" s="21"/>
      <c r="CI1217" s="21"/>
      <c r="CJ1217" s="21"/>
    </row>
    <row r="1218" spans="60:88" x14ac:dyDescent="0.25">
      <c r="BH1218" s="21"/>
      <c r="BI1218" s="21"/>
      <c r="BJ1218" s="21"/>
      <c r="BK1218" s="21"/>
      <c r="BL1218" s="21"/>
      <c r="BM1218" s="21"/>
      <c r="BN1218" s="21"/>
      <c r="BO1218" s="21"/>
      <c r="BQ1218" s="21"/>
      <c r="BR1218" s="21"/>
      <c r="BS1218" s="21"/>
      <c r="BU1218" s="21"/>
      <c r="BX1218" s="21"/>
      <c r="CG1218" s="21"/>
      <c r="CH1218" s="21"/>
      <c r="CI1218" s="21"/>
      <c r="CJ1218" s="21"/>
    </row>
    <row r="1219" spans="60:88" x14ac:dyDescent="0.25">
      <c r="BH1219" s="21"/>
      <c r="BI1219" s="21"/>
      <c r="BJ1219" s="21"/>
      <c r="BK1219" s="21"/>
      <c r="BL1219" s="21"/>
      <c r="BM1219" s="21"/>
      <c r="BN1219" s="21"/>
      <c r="BO1219" s="21"/>
      <c r="BQ1219" s="21"/>
      <c r="BR1219" s="21"/>
      <c r="BS1219" s="21"/>
      <c r="BU1219" s="21"/>
      <c r="BX1219" s="21"/>
      <c r="CG1219" s="21"/>
      <c r="CH1219" s="21"/>
      <c r="CI1219" s="21"/>
      <c r="CJ1219" s="21"/>
    </row>
    <row r="1220" spans="60:88" x14ac:dyDescent="0.25">
      <c r="BH1220" s="21"/>
      <c r="BI1220" s="21"/>
      <c r="BJ1220" s="21"/>
      <c r="BK1220" s="21"/>
      <c r="BL1220" s="21"/>
      <c r="BM1220" s="21"/>
      <c r="BN1220" s="21"/>
      <c r="BO1220" s="21"/>
      <c r="BQ1220" s="21"/>
      <c r="BR1220" s="21"/>
      <c r="BS1220" s="21"/>
      <c r="BU1220" s="21"/>
      <c r="BX1220" s="21"/>
      <c r="CG1220" s="21"/>
      <c r="CH1220" s="21"/>
      <c r="CI1220" s="21"/>
      <c r="CJ1220" s="21"/>
    </row>
    <row r="1221" spans="60:88" x14ac:dyDescent="0.25">
      <c r="BH1221" s="21"/>
      <c r="BI1221" s="21"/>
      <c r="BJ1221" s="21"/>
      <c r="BK1221" s="21"/>
      <c r="BL1221" s="21"/>
      <c r="BM1221" s="21"/>
      <c r="BN1221" s="21"/>
      <c r="BO1221" s="21"/>
      <c r="BQ1221" s="21"/>
      <c r="BR1221" s="21"/>
      <c r="BS1221" s="21"/>
      <c r="BU1221" s="21"/>
      <c r="BX1221" s="21"/>
      <c r="CG1221" s="21"/>
      <c r="CH1221" s="21"/>
      <c r="CI1221" s="21"/>
      <c r="CJ1221" s="21"/>
    </row>
    <row r="1222" spans="60:88" x14ac:dyDescent="0.25">
      <c r="BH1222" s="21"/>
      <c r="BI1222" s="21"/>
      <c r="BJ1222" s="21"/>
      <c r="BK1222" s="21"/>
      <c r="BL1222" s="21"/>
      <c r="BM1222" s="21"/>
      <c r="BN1222" s="21"/>
      <c r="BO1222" s="21"/>
      <c r="BQ1222" s="21"/>
      <c r="BR1222" s="21"/>
      <c r="BS1222" s="21"/>
      <c r="BU1222" s="21"/>
      <c r="BX1222" s="21"/>
      <c r="CG1222" s="21"/>
      <c r="CH1222" s="21"/>
      <c r="CI1222" s="21"/>
      <c r="CJ1222" s="21"/>
    </row>
    <row r="1223" spans="60:88" x14ac:dyDescent="0.25">
      <c r="BH1223" s="21"/>
      <c r="BI1223" s="21"/>
      <c r="BJ1223" s="21"/>
      <c r="BK1223" s="21"/>
      <c r="BL1223" s="21"/>
      <c r="BM1223" s="21"/>
      <c r="BN1223" s="21"/>
      <c r="BO1223" s="21"/>
      <c r="BQ1223" s="21"/>
      <c r="BR1223" s="21"/>
      <c r="BS1223" s="21"/>
      <c r="BU1223" s="21"/>
      <c r="BX1223" s="21"/>
      <c r="CG1223" s="21"/>
      <c r="CH1223" s="21"/>
      <c r="CI1223" s="21"/>
      <c r="CJ1223" s="21"/>
    </row>
    <row r="1224" spans="60:88" x14ac:dyDescent="0.25">
      <c r="BH1224" s="21"/>
      <c r="BI1224" s="21"/>
      <c r="BJ1224" s="21"/>
      <c r="BK1224" s="21"/>
      <c r="BL1224" s="21"/>
      <c r="BM1224" s="21"/>
      <c r="BN1224" s="21"/>
      <c r="BO1224" s="21"/>
      <c r="BQ1224" s="21"/>
      <c r="BR1224" s="21"/>
      <c r="BS1224" s="21"/>
      <c r="BU1224" s="21"/>
      <c r="BX1224" s="21"/>
      <c r="CG1224" s="21"/>
      <c r="CH1224" s="21"/>
      <c r="CI1224" s="21"/>
      <c r="CJ1224" s="21"/>
    </row>
    <row r="1225" spans="60:88" x14ac:dyDescent="0.25">
      <c r="BH1225" s="21"/>
      <c r="BI1225" s="21"/>
      <c r="BJ1225" s="21"/>
      <c r="BK1225" s="21"/>
      <c r="BL1225" s="21"/>
      <c r="BM1225" s="21"/>
      <c r="BN1225" s="21"/>
      <c r="BO1225" s="21"/>
      <c r="BQ1225" s="21"/>
      <c r="BR1225" s="21"/>
      <c r="BS1225" s="21"/>
      <c r="BU1225" s="21"/>
      <c r="BX1225" s="21"/>
      <c r="CG1225" s="21"/>
      <c r="CH1225" s="21"/>
      <c r="CI1225" s="21"/>
      <c r="CJ1225" s="21"/>
    </row>
    <row r="1226" spans="60:88" x14ac:dyDescent="0.25">
      <c r="BH1226" s="21"/>
      <c r="BI1226" s="21"/>
      <c r="BJ1226" s="21"/>
      <c r="BK1226" s="21"/>
      <c r="BL1226" s="21"/>
      <c r="BM1226" s="21"/>
      <c r="BN1226" s="21"/>
      <c r="BO1226" s="21"/>
      <c r="BQ1226" s="21"/>
      <c r="BR1226" s="21"/>
      <c r="BS1226" s="21"/>
      <c r="BU1226" s="21"/>
      <c r="BX1226" s="21"/>
      <c r="CG1226" s="21"/>
      <c r="CH1226" s="21"/>
      <c r="CI1226" s="21"/>
      <c r="CJ1226" s="21"/>
    </row>
    <row r="1227" spans="60:88" x14ac:dyDescent="0.25">
      <c r="BH1227" s="21"/>
      <c r="BI1227" s="21"/>
      <c r="BJ1227" s="21"/>
      <c r="BK1227" s="21"/>
      <c r="BL1227" s="21"/>
      <c r="BM1227" s="21"/>
      <c r="BN1227" s="21"/>
      <c r="BO1227" s="21"/>
      <c r="BQ1227" s="21"/>
      <c r="BR1227" s="21"/>
      <c r="BS1227" s="21"/>
      <c r="BU1227" s="21"/>
      <c r="BX1227" s="21"/>
      <c r="CG1227" s="21"/>
      <c r="CH1227" s="21"/>
      <c r="CI1227" s="21"/>
      <c r="CJ1227" s="21"/>
    </row>
    <row r="1228" spans="60:88" x14ac:dyDescent="0.25">
      <c r="BH1228" s="21"/>
      <c r="BI1228" s="21"/>
      <c r="BJ1228" s="21"/>
      <c r="BK1228" s="21"/>
      <c r="BL1228" s="21"/>
      <c r="BM1228" s="21"/>
      <c r="BN1228" s="21"/>
      <c r="BO1228" s="21"/>
      <c r="BQ1228" s="21"/>
      <c r="BR1228" s="21"/>
      <c r="BS1228" s="21"/>
      <c r="BU1228" s="21"/>
      <c r="BX1228" s="21"/>
      <c r="CG1228" s="21"/>
      <c r="CH1228" s="21"/>
      <c r="CI1228" s="21"/>
      <c r="CJ1228" s="21"/>
    </row>
    <row r="1229" spans="60:88" x14ac:dyDescent="0.25">
      <c r="BH1229" s="21"/>
      <c r="BI1229" s="21"/>
      <c r="BJ1229" s="21"/>
      <c r="BK1229" s="21"/>
      <c r="BL1229" s="21"/>
      <c r="BM1229" s="21"/>
      <c r="BN1229" s="21"/>
      <c r="BO1229" s="21"/>
      <c r="BQ1229" s="21"/>
      <c r="BR1229" s="21"/>
      <c r="BS1229" s="21"/>
      <c r="BU1229" s="21"/>
      <c r="BX1229" s="21"/>
      <c r="CG1229" s="21"/>
      <c r="CH1229" s="21"/>
      <c r="CI1229" s="21"/>
      <c r="CJ1229" s="21"/>
    </row>
    <row r="1230" spans="60:88" x14ac:dyDescent="0.25">
      <c r="BH1230" s="21"/>
      <c r="BI1230" s="21"/>
      <c r="BJ1230" s="21"/>
      <c r="BK1230" s="21"/>
      <c r="BL1230" s="21"/>
      <c r="BM1230" s="21"/>
      <c r="BN1230" s="21"/>
      <c r="BO1230" s="21"/>
      <c r="BQ1230" s="21"/>
      <c r="BR1230" s="21"/>
      <c r="BS1230" s="21"/>
      <c r="BU1230" s="21"/>
      <c r="BX1230" s="21"/>
      <c r="CG1230" s="21"/>
      <c r="CH1230" s="21"/>
      <c r="CI1230" s="21"/>
      <c r="CJ1230" s="21"/>
    </row>
    <row r="1231" spans="60:88" x14ac:dyDescent="0.25">
      <c r="BH1231" s="21"/>
      <c r="BI1231" s="21"/>
      <c r="BJ1231" s="21"/>
      <c r="BK1231" s="21"/>
      <c r="BL1231" s="21"/>
      <c r="BM1231" s="21"/>
      <c r="BN1231" s="21"/>
      <c r="BO1231" s="21"/>
      <c r="BQ1231" s="21"/>
      <c r="BR1231" s="21"/>
      <c r="BS1231" s="21"/>
      <c r="BU1231" s="21"/>
      <c r="BX1231" s="21"/>
      <c r="CG1231" s="21"/>
      <c r="CH1231" s="21"/>
      <c r="CI1231" s="21"/>
      <c r="CJ1231" s="21"/>
    </row>
    <row r="1232" spans="60:88" x14ac:dyDescent="0.25">
      <c r="BH1232" s="21"/>
      <c r="BI1232" s="21"/>
      <c r="BJ1232" s="21"/>
      <c r="BK1232" s="21"/>
      <c r="BL1232" s="21"/>
      <c r="BM1232" s="21"/>
      <c r="BN1232" s="21"/>
      <c r="BO1232" s="21"/>
      <c r="BQ1232" s="21"/>
      <c r="BR1232" s="21"/>
      <c r="BS1232" s="21"/>
      <c r="BU1232" s="21"/>
      <c r="BX1232" s="21"/>
      <c r="CG1232" s="21"/>
      <c r="CH1232" s="21"/>
      <c r="CI1232" s="21"/>
      <c r="CJ1232" s="21"/>
    </row>
    <row r="1233" spans="60:88" x14ac:dyDescent="0.25">
      <c r="BH1233" s="21"/>
      <c r="BI1233" s="21"/>
      <c r="BJ1233" s="21"/>
      <c r="BK1233" s="21"/>
      <c r="BL1233" s="21"/>
      <c r="BM1233" s="21"/>
      <c r="BN1233" s="21"/>
      <c r="BO1233" s="21"/>
      <c r="BQ1233" s="21"/>
      <c r="BR1233" s="21"/>
      <c r="BS1233" s="21"/>
      <c r="BU1233" s="21"/>
      <c r="BX1233" s="21"/>
      <c r="CG1233" s="21"/>
      <c r="CH1233" s="21"/>
      <c r="CI1233" s="21"/>
      <c r="CJ1233" s="21"/>
    </row>
    <row r="1234" spans="60:88" x14ac:dyDescent="0.25">
      <c r="BH1234" s="21"/>
      <c r="BI1234" s="21"/>
      <c r="BJ1234" s="21"/>
      <c r="BK1234" s="21"/>
      <c r="BL1234" s="21"/>
      <c r="BM1234" s="21"/>
      <c r="BN1234" s="21"/>
      <c r="BO1234" s="21"/>
      <c r="BQ1234" s="21"/>
      <c r="BR1234" s="21"/>
      <c r="BS1234" s="21"/>
      <c r="BU1234" s="21"/>
      <c r="BX1234" s="21"/>
      <c r="CG1234" s="21"/>
      <c r="CH1234" s="21"/>
      <c r="CI1234" s="21"/>
      <c r="CJ1234" s="21"/>
    </row>
    <row r="1235" spans="60:88" x14ac:dyDescent="0.25">
      <c r="BH1235" s="21"/>
      <c r="BI1235" s="21"/>
      <c r="BJ1235" s="21"/>
      <c r="BK1235" s="21"/>
      <c r="BL1235" s="21"/>
      <c r="BM1235" s="21"/>
      <c r="BN1235" s="21"/>
      <c r="BO1235" s="21"/>
      <c r="BQ1235" s="21"/>
      <c r="BR1235" s="21"/>
      <c r="BS1235" s="21"/>
      <c r="BU1235" s="21"/>
      <c r="BX1235" s="21"/>
      <c r="CG1235" s="21"/>
      <c r="CH1235" s="21"/>
      <c r="CI1235" s="21"/>
      <c r="CJ1235" s="21"/>
    </row>
    <row r="1236" spans="60:88" x14ac:dyDescent="0.25">
      <c r="BH1236" s="21"/>
      <c r="BI1236" s="21"/>
      <c r="BJ1236" s="21"/>
      <c r="BK1236" s="21"/>
      <c r="BL1236" s="21"/>
      <c r="BM1236" s="21"/>
      <c r="BN1236" s="21"/>
      <c r="BO1236" s="21"/>
      <c r="BQ1236" s="21"/>
      <c r="BR1236" s="21"/>
      <c r="BS1236" s="21"/>
      <c r="BU1236" s="21"/>
      <c r="BX1236" s="21"/>
      <c r="CG1236" s="21"/>
      <c r="CH1236" s="21"/>
      <c r="CI1236" s="21"/>
      <c r="CJ1236" s="21"/>
    </row>
    <row r="1237" spans="60:88" x14ac:dyDescent="0.25">
      <c r="BH1237" s="21"/>
      <c r="BI1237" s="21"/>
      <c r="BJ1237" s="21"/>
      <c r="BK1237" s="21"/>
      <c r="BL1237" s="21"/>
      <c r="BM1237" s="21"/>
      <c r="BN1237" s="21"/>
      <c r="BO1237" s="21"/>
      <c r="BQ1237" s="21"/>
      <c r="BR1237" s="21"/>
      <c r="BS1237" s="21"/>
      <c r="BU1237" s="21"/>
      <c r="BX1237" s="21"/>
      <c r="CG1237" s="21"/>
      <c r="CH1237" s="21"/>
      <c r="CI1237" s="21"/>
      <c r="CJ1237" s="21"/>
    </row>
    <row r="1238" spans="60:88" x14ac:dyDescent="0.25">
      <c r="BH1238" s="21"/>
      <c r="BI1238" s="21"/>
      <c r="BJ1238" s="21"/>
      <c r="BK1238" s="21"/>
      <c r="BL1238" s="21"/>
      <c r="BM1238" s="21"/>
      <c r="BN1238" s="21"/>
      <c r="BO1238" s="21"/>
      <c r="BQ1238" s="21"/>
      <c r="BR1238" s="21"/>
      <c r="BS1238" s="21"/>
      <c r="BU1238" s="21"/>
      <c r="BX1238" s="21"/>
      <c r="CG1238" s="21"/>
      <c r="CH1238" s="21"/>
      <c r="CI1238" s="21"/>
      <c r="CJ1238" s="21"/>
    </row>
    <row r="1239" spans="60:88" x14ac:dyDescent="0.25">
      <c r="BH1239" s="21"/>
      <c r="BI1239" s="21"/>
      <c r="BJ1239" s="21"/>
      <c r="BK1239" s="21"/>
      <c r="BL1239" s="21"/>
      <c r="BM1239" s="21"/>
      <c r="BN1239" s="21"/>
      <c r="BO1239" s="21"/>
      <c r="BQ1239" s="21"/>
      <c r="BR1239" s="21"/>
      <c r="BS1239" s="21"/>
      <c r="BU1239" s="21"/>
      <c r="BX1239" s="21"/>
      <c r="CG1239" s="21"/>
      <c r="CH1239" s="21"/>
      <c r="CI1239" s="21"/>
      <c r="CJ1239" s="21"/>
    </row>
    <row r="1240" spans="60:88" x14ac:dyDescent="0.25">
      <c r="BH1240" s="21"/>
      <c r="BI1240" s="21"/>
      <c r="BJ1240" s="21"/>
      <c r="BK1240" s="21"/>
      <c r="BL1240" s="21"/>
      <c r="BM1240" s="21"/>
      <c r="BN1240" s="21"/>
      <c r="BO1240" s="21"/>
      <c r="BQ1240" s="21"/>
      <c r="BR1240" s="21"/>
      <c r="BS1240" s="21"/>
      <c r="BU1240" s="21"/>
      <c r="BX1240" s="21"/>
      <c r="CG1240" s="21"/>
      <c r="CH1240" s="21"/>
      <c r="CI1240" s="21"/>
      <c r="CJ1240" s="21"/>
    </row>
    <row r="1241" spans="60:88" x14ac:dyDescent="0.25">
      <c r="BH1241" s="21"/>
      <c r="BI1241" s="21"/>
      <c r="BJ1241" s="21"/>
      <c r="BK1241" s="21"/>
      <c r="BL1241" s="21"/>
      <c r="BM1241" s="21"/>
      <c r="BN1241" s="21"/>
      <c r="BO1241" s="21"/>
      <c r="BQ1241" s="21"/>
      <c r="BR1241" s="21"/>
      <c r="BS1241" s="21"/>
      <c r="BU1241" s="21"/>
      <c r="BX1241" s="21"/>
      <c r="CG1241" s="21"/>
      <c r="CH1241" s="21"/>
      <c r="CI1241" s="21"/>
      <c r="CJ1241" s="21"/>
    </row>
    <row r="1242" spans="60:88" x14ac:dyDescent="0.25">
      <c r="BH1242" s="21"/>
      <c r="BI1242" s="21"/>
      <c r="BJ1242" s="21"/>
      <c r="BK1242" s="21"/>
      <c r="BL1242" s="21"/>
      <c r="BM1242" s="21"/>
      <c r="BN1242" s="21"/>
      <c r="BO1242" s="21"/>
      <c r="BQ1242" s="21"/>
      <c r="BR1242" s="21"/>
      <c r="BS1242" s="21"/>
      <c r="BU1242" s="21"/>
      <c r="BX1242" s="21"/>
      <c r="CG1242" s="21"/>
      <c r="CH1242" s="21"/>
      <c r="CI1242" s="21"/>
      <c r="CJ1242" s="21"/>
    </row>
    <row r="1243" spans="60:88" x14ac:dyDescent="0.25">
      <c r="BH1243" s="21"/>
      <c r="BI1243" s="21"/>
      <c r="BJ1243" s="21"/>
      <c r="BK1243" s="21"/>
      <c r="BL1243" s="21"/>
      <c r="BM1243" s="21"/>
      <c r="BN1243" s="21"/>
      <c r="BO1243" s="21"/>
      <c r="BQ1243" s="21"/>
      <c r="BR1243" s="21"/>
      <c r="BS1243" s="21"/>
      <c r="BU1243" s="21"/>
      <c r="BX1243" s="21"/>
      <c r="CG1243" s="21"/>
      <c r="CH1243" s="21"/>
      <c r="CI1243" s="21"/>
      <c r="CJ1243" s="21"/>
    </row>
    <row r="1244" spans="60:88" x14ac:dyDescent="0.25">
      <c r="BH1244" s="21"/>
      <c r="BI1244" s="21"/>
      <c r="BJ1244" s="21"/>
      <c r="BK1244" s="21"/>
      <c r="BL1244" s="21"/>
      <c r="BM1244" s="21"/>
      <c r="BN1244" s="21"/>
      <c r="BO1244" s="21"/>
      <c r="BQ1244" s="21"/>
      <c r="BR1244" s="21"/>
      <c r="BS1244" s="21"/>
      <c r="BU1244" s="21"/>
      <c r="BX1244" s="21"/>
      <c r="CG1244" s="21"/>
      <c r="CH1244" s="21"/>
      <c r="CI1244" s="21"/>
      <c r="CJ1244" s="21"/>
    </row>
    <row r="1245" spans="60:88" x14ac:dyDescent="0.25">
      <c r="BH1245" s="21"/>
      <c r="BI1245" s="21"/>
      <c r="BJ1245" s="21"/>
      <c r="BK1245" s="21"/>
      <c r="BL1245" s="21"/>
      <c r="BM1245" s="21"/>
      <c r="BN1245" s="21"/>
      <c r="BO1245" s="21"/>
      <c r="BQ1245" s="21"/>
      <c r="BR1245" s="21"/>
      <c r="BS1245" s="21"/>
      <c r="BU1245" s="21"/>
      <c r="BX1245" s="21"/>
      <c r="CG1245" s="21"/>
      <c r="CH1245" s="21"/>
      <c r="CI1245" s="21"/>
      <c r="CJ1245" s="21"/>
    </row>
    <row r="1246" spans="60:88" x14ac:dyDescent="0.25">
      <c r="BH1246" s="21"/>
      <c r="BI1246" s="21"/>
      <c r="BJ1246" s="21"/>
      <c r="BK1246" s="21"/>
      <c r="BL1246" s="21"/>
      <c r="BM1246" s="21"/>
      <c r="BN1246" s="21"/>
      <c r="BO1246" s="21"/>
      <c r="BQ1246" s="21"/>
      <c r="BR1246" s="21"/>
      <c r="BS1246" s="21"/>
      <c r="BU1246" s="21"/>
      <c r="BX1246" s="21"/>
      <c r="CG1246" s="21"/>
      <c r="CH1246" s="21"/>
      <c r="CI1246" s="21"/>
      <c r="CJ1246" s="21"/>
    </row>
    <row r="1247" spans="60:88" x14ac:dyDescent="0.25">
      <c r="BH1247" s="21"/>
      <c r="BI1247" s="21"/>
      <c r="BJ1247" s="21"/>
      <c r="BK1247" s="21"/>
      <c r="BL1247" s="21"/>
      <c r="BM1247" s="21"/>
      <c r="BN1247" s="21"/>
      <c r="BO1247" s="21"/>
      <c r="BQ1247" s="21"/>
      <c r="BR1247" s="21"/>
      <c r="BS1247" s="21"/>
      <c r="BU1247" s="21"/>
      <c r="BX1247" s="21"/>
      <c r="CG1247" s="21"/>
      <c r="CH1247" s="21"/>
      <c r="CI1247" s="21"/>
      <c r="CJ1247" s="21"/>
    </row>
    <row r="1248" spans="60:88" x14ac:dyDescent="0.25">
      <c r="BH1248" s="21"/>
      <c r="BI1248" s="21"/>
      <c r="BJ1248" s="21"/>
      <c r="BK1248" s="21"/>
      <c r="BL1248" s="21"/>
      <c r="BM1248" s="21"/>
      <c r="BN1248" s="21"/>
      <c r="BO1248" s="21"/>
      <c r="BQ1248" s="21"/>
      <c r="BR1248" s="21"/>
      <c r="BS1248" s="21"/>
      <c r="BU1248" s="21"/>
      <c r="BX1248" s="21"/>
      <c r="CG1248" s="21"/>
      <c r="CH1248" s="21"/>
      <c r="CI1248" s="21"/>
      <c r="CJ1248" s="21"/>
    </row>
    <row r="1249" spans="60:88" x14ac:dyDescent="0.25">
      <c r="BH1249" s="21"/>
      <c r="BI1249" s="21"/>
      <c r="BJ1249" s="21"/>
      <c r="BK1249" s="21"/>
      <c r="BL1249" s="21"/>
      <c r="BM1249" s="21"/>
      <c r="BN1249" s="21"/>
      <c r="BO1249" s="21"/>
      <c r="BQ1249" s="21"/>
      <c r="BR1249" s="21"/>
      <c r="BS1249" s="21"/>
      <c r="BU1249" s="21"/>
      <c r="BX1249" s="21"/>
      <c r="CG1249" s="21"/>
      <c r="CH1249" s="21"/>
      <c r="CI1249" s="21"/>
      <c r="CJ1249" s="21"/>
    </row>
    <row r="1250" spans="60:88" x14ac:dyDescent="0.25">
      <c r="BH1250" s="21"/>
      <c r="BI1250" s="21"/>
      <c r="BJ1250" s="21"/>
      <c r="BK1250" s="21"/>
      <c r="BL1250" s="21"/>
      <c r="BM1250" s="21"/>
      <c r="BN1250" s="21"/>
      <c r="BO1250" s="21"/>
      <c r="BQ1250" s="21"/>
      <c r="BR1250" s="21"/>
      <c r="BS1250" s="21"/>
      <c r="BU1250" s="21"/>
      <c r="BX1250" s="21"/>
      <c r="CG1250" s="21"/>
      <c r="CH1250" s="21"/>
      <c r="CI1250" s="21"/>
      <c r="CJ1250" s="21"/>
    </row>
    <row r="1251" spans="60:88" x14ac:dyDescent="0.25">
      <c r="BH1251" s="21"/>
      <c r="BI1251" s="21"/>
      <c r="BJ1251" s="21"/>
      <c r="BK1251" s="21"/>
      <c r="BL1251" s="21"/>
      <c r="BM1251" s="21"/>
      <c r="BN1251" s="21"/>
      <c r="BO1251" s="21"/>
      <c r="BQ1251" s="21"/>
      <c r="BR1251" s="21"/>
      <c r="BS1251" s="21"/>
      <c r="BU1251" s="21"/>
      <c r="BX1251" s="21"/>
      <c r="CG1251" s="21"/>
      <c r="CH1251" s="21"/>
      <c r="CI1251" s="21"/>
      <c r="CJ1251" s="21"/>
    </row>
    <row r="1252" spans="60:88" x14ac:dyDescent="0.25">
      <c r="BH1252" s="21"/>
      <c r="BI1252" s="21"/>
      <c r="BJ1252" s="21"/>
      <c r="BK1252" s="21"/>
      <c r="BL1252" s="21"/>
      <c r="BM1252" s="21"/>
      <c r="BN1252" s="21"/>
      <c r="BO1252" s="21"/>
      <c r="BQ1252" s="21"/>
      <c r="BR1252" s="21"/>
      <c r="BS1252" s="21"/>
      <c r="BU1252" s="21"/>
      <c r="BX1252" s="21"/>
      <c r="CG1252" s="21"/>
      <c r="CH1252" s="21"/>
      <c r="CI1252" s="21"/>
      <c r="CJ1252" s="21"/>
    </row>
    <row r="1253" spans="60:88" x14ac:dyDescent="0.25">
      <c r="BH1253" s="21"/>
      <c r="BI1253" s="21"/>
      <c r="BJ1253" s="21"/>
      <c r="BK1253" s="21"/>
      <c r="BL1253" s="21"/>
      <c r="BM1253" s="21"/>
      <c r="BN1253" s="21"/>
      <c r="BO1253" s="21"/>
      <c r="BQ1253" s="21"/>
      <c r="BR1253" s="21"/>
      <c r="BS1253" s="21"/>
      <c r="BU1253" s="21"/>
      <c r="BX1253" s="21"/>
      <c r="CG1253" s="21"/>
      <c r="CH1253" s="21"/>
      <c r="CI1253" s="21"/>
      <c r="CJ1253" s="21"/>
    </row>
    <row r="1254" spans="60:88" x14ac:dyDescent="0.25">
      <c r="BH1254" s="21"/>
      <c r="BI1254" s="21"/>
      <c r="BJ1254" s="21"/>
      <c r="BK1254" s="21"/>
      <c r="BL1254" s="21"/>
      <c r="BM1254" s="21"/>
      <c r="BN1254" s="21"/>
      <c r="BO1254" s="21"/>
      <c r="BQ1254" s="21"/>
      <c r="BR1254" s="21"/>
      <c r="BS1254" s="21"/>
      <c r="BU1254" s="21"/>
      <c r="BX1254" s="21"/>
      <c r="CG1254" s="21"/>
      <c r="CH1254" s="21"/>
      <c r="CI1254" s="21"/>
      <c r="CJ1254" s="21"/>
    </row>
    <row r="1255" spans="60:88" x14ac:dyDescent="0.25">
      <c r="BH1255" s="21"/>
      <c r="BI1255" s="21"/>
      <c r="BJ1255" s="21"/>
      <c r="BK1255" s="21"/>
      <c r="BL1255" s="21"/>
      <c r="BM1255" s="21"/>
      <c r="BN1255" s="21"/>
      <c r="BO1255" s="21"/>
      <c r="BQ1255" s="21"/>
      <c r="BR1255" s="21"/>
      <c r="BS1255" s="21"/>
      <c r="BU1255" s="21"/>
      <c r="BX1255" s="21"/>
      <c r="CG1255" s="21"/>
      <c r="CH1255" s="21"/>
      <c r="CI1255" s="21"/>
      <c r="CJ1255" s="21"/>
    </row>
    <row r="1256" spans="60:88" x14ac:dyDescent="0.25">
      <c r="BH1256" s="21"/>
      <c r="BI1256" s="21"/>
      <c r="BJ1256" s="21"/>
      <c r="BK1256" s="21"/>
      <c r="BL1256" s="21"/>
      <c r="BM1256" s="21"/>
      <c r="BN1256" s="21"/>
      <c r="BO1256" s="21"/>
      <c r="BQ1256" s="21"/>
      <c r="BR1256" s="21"/>
      <c r="BS1256" s="21"/>
      <c r="BU1256" s="21"/>
      <c r="BX1256" s="21"/>
      <c r="CG1256" s="21"/>
      <c r="CH1256" s="21"/>
      <c r="CI1256" s="21"/>
      <c r="CJ1256" s="21"/>
    </row>
    <row r="1257" spans="60:88" x14ac:dyDescent="0.25">
      <c r="BH1257" s="21"/>
      <c r="BI1257" s="21"/>
      <c r="BJ1257" s="21"/>
      <c r="BK1257" s="21"/>
      <c r="BL1257" s="21"/>
      <c r="BM1257" s="21"/>
      <c r="BN1257" s="21"/>
      <c r="BO1257" s="21"/>
      <c r="BQ1257" s="21"/>
      <c r="BR1257" s="21"/>
      <c r="BS1257" s="21"/>
      <c r="BU1257" s="21"/>
      <c r="BX1257" s="21"/>
      <c r="CG1257" s="21"/>
      <c r="CH1257" s="21"/>
      <c r="CI1257" s="21"/>
      <c r="CJ1257" s="21"/>
    </row>
    <row r="1258" spans="60:88" x14ac:dyDescent="0.25">
      <c r="BH1258" s="21"/>
      <c r="BI1258" s="21"/>
      <c r="BJ1258" s="21"/>
      <c r="BK1258" s="21"/>
      <c r="BL1258" s="21"/>
      <c r="BM1258" s="21"/>
      <c r="BN1258" s="21"/>
      <c r="BO1258" s="21"/>
      <c r="BQ1258" s="21"/>
      <c r="BR1258" s="21"/>
      <c r="BS1258" s="21"/>
      <c r="BU1258" s="21"/>
      <c r="BX1258" s="21"/>
      <c r="CG1258" s="21"/>
      <c r="CH1258" s="21"/>
      <c r="CI1258" s="21"/>
      <c r="CJ1258" s="21"/>
    </row>
    <row r="1259" spans="60:88" x14ac:dyDescent="0.25">
      <c r="BH1259" s="21"/>
      <c r="BI1259" s="21"/>
      <c r="BJ1259" s="21"/>
      <c r="BK1259" s="21"/>
      <c r="BL1259" s="21"/>
      <c r="BM1259" s="21"/>
      <c r="BN1259" s="21"/>
      <c r="BO1259" s="21"/>
      <c r="BQ1259" s="21"/>
      <c r="BR1259" s="21"/>
      <c r="BS1259" s="21"/>
      <c r="BU1259" s="21"/>
      <c r="BX1259" s="21"/>
      <c r="CG1259" s="21"/>
      <c r="CH1259" s="21"/>
      <c r="CI1259" s="21"/>
      <c r="CJ1259" s="21"/>
    </row>
    <row r="1260" spans="60:88" x14ac:dyDescent="0.25">
      <c r="BH1260" s="21"/>
      <c r="BI1260" s="21"/>
      <c r="BJ1260" s="21"/>
      <c r="BK1260" s="21"/>
      <c r="BL1260" s="21"/>
      <c r="BM1260" s="21"/>
      <c r="BN1260" s="21"/>
      <c r="BO1260" s="21"/>
      <c r="BQ1260" s="21"/>
      <c r="BR1260" s="21"/>
      <c r="BS1260" s="21"/>
      <c r="BU1260" s="21"/>
      <c r="BX1260" s="21"/>
      <c r="CG1260" s="21"/>
      <c r="CH1260" s="21"/>
      <c r="CI1260" s="21"/>
      <c r="CJ1260" s="21"/>
    </row>
    <row r="1261" spans="60:88" x14ac:dyDescent="0.25">
      <c r="BH1261" s="21"/>
      <c r="BI1261" s="21"/>
      <c r="BJ1261" s="21"/>
      <c r="BK1261" s="21"/>
      <c r="BL1261" s="21"/>
      <c r="BM1261" s="21"/>
      <c r="BN1261" s="21"/>
      <c r="BO1261" s="21"/>
      <c r="BQ1261" s="21"/>
      <c r="BR1261" s="21"/>
      <c r="BS1261" s="21"/>
      <c r="BU1261" s="21"/>
      <c r="BX1261" s="21"/>
      <c r="CG1261" s="21"/>
      <c r="CH1261" s="21"/>
      <c r="CI1261" s="21"/>
      <c r="CJ1261" s="21"/>
    </row>
    <row r="1262" spans="60:88" x14ac:dyDescent="0.25">
      <c r="BH1262" s="21"/>
      <c r="BI1262" s="21"/>
      <c r="BJ1262" s="21"/>
      <c r="BK1262" s="21"/>
      <c r="BL1262" s="21"/>
      <c r="BM1262" s="21"/>
      <c r="BN1262" s="21"/>
      <c r="BO1262" s="21"/>
      <c r="BQ1262" s="21"/>
      <c r="BR1262" s="21"/>
      <c r="BS1262" s="21"/>
      <c r="BU1262" s="21"/>
      <c r="BX1262" s="21"/>
      <c r="CG1262" s="21"/>
      <c r="CH1262" s="21"/>
      <c r="CI1262" s="21"/>
      <c r="CJ1262" s="21"/>
    </row>
    <row r="1263" spans="60:88" x14ac:dyDescent="0.25">
      <c r="BH1263" s="21"/>
      <c r="BI1263" s="21"/>
      <c r="BJ1263" s="21"/>
      <c r="BK1263" s="21"/>
      <c r="BL1263" s="21"/>
      <c r="BM1263" s="21"/>
      <c r="BN1263" s="21"/>
      <c r="BO1263" s="21"/>
      <c r="BQ1263" s="21"/>
      <c r="BR1263" s="21"/>
      <c r="BS1263" s="21"/>
      <c r="BU1263" s="21"/>
      <c r="BX1263" s="21"/>
      <c r="CG1263" s="21"/>
      <c r="CH1263" s="21"/>
      <c r="CI1263" s="21"/>
      <c r="CJ1263" s="21"/>
    </row>
    <row r="1264" spans="60:88" x14ac:dyDescent="0.25">
      <c r="BH1264" s="21"/>
      <c r="BI1264" s="21"/>
      <c r="BJ1264" s="21"/>
      <c r="BK1264" s="21"/>
      <c r="BL1264" s="21"/>
      <c r="BM1264" s="21"/>
      <c r="BN1264" s="21"/>
      <c r="BO1264" s="21"/>
      <c r="BQ1264" s="21"/>
      <c r="BR1264" s="21"/>
      <c r="BS1264" s="21"/>
      <c r="BU1264" s="21"/>
      <c r="BX1264" s="21"/>
      <c r="CG1264" s="21"/>
      <c r="CH1264" s="21"/>
      <c r="CI1264" s="21"/>
      <c r="CJ1264" s="21"/>
    </row>
    <row r="1265" spans="60:88" x14ac:dyDescent="0.25">
      <c r="BH1265" s="21"/>
      <c r="BI1265" s="21"/>
      <c r="BJ1265" s="21"/>
      <c r="BK1265" s="21"/>
      <c r="BL1265" s="21"/>
      <c r="BM1265" s="21"/>
      <c r="BN1265" s="21"/>
      <c r="BO1265" s="21"/>
      <c r="BQ1265" s="21"/>
      <c r="BR1265" s="21"/>
      <c r="BS1265" s="21"/>
      <c r="BU1265" s="21"/>
      <c r="BX1265" s="21"/>
      <c r="CG1265" s="21"/>
      <c r="CH1265" s="21"/>
      <c r="CI1265" s="21"/>
      <c r="CJ1265" s="21"/>
    </row>
    <row r="1266" spans="60:88" x14ac:dyDescent="0.25">
      <c r="BH1266" s="21"/>
      <c r="BI1266" s="21"/>
      <c r="BJ1266" s="21"/>
      <c r="BK1266" s="21"/>
      <c r="BL1266" s="21"/>
      <c r="BM1266" s="21"/>
      <c r="BN1266" s="21"/>
      <c r="BO1266" s="21"/>
      <c r="BQ1266" s="21"/>
      <c r="BR1266" s="21"/>
      <c r="BS1266" s="21"/>
      <c r="BU1266" s="21"/>
      <c r="BX1266" s="21"/>
      <c r="CG1266" s="21"/>
      <c r="CH1266" s="21"/>
      <c r="CI1266" s="21"/>
      <c r="CJ1266" s="21"/>
    </row>
    <row r="1267" spans="60:88" x14ac:dyDescent="0.25">
      <c r="BH1267" s="21"/>
      <c r="BI1267" s="21"/>
      <c r="BJ1267" s="21"/>
      <c r="BK1267" s="21"/>
      <c r="BL1267" s="21"/>
      <c r="BM1267" s="21"/>
      <c r="BN1267" s="21"/>
      <c r="BO1267" s="21"/>
      <c r="BQ1267" s="21"/>
      <c r="BR1267" s="21"/>
      <c r="BS1267" s="21"/>
      <c r="BU1267" s="21"/>
      <c r="BX1267" s="21"/>
      <c r="CG1267" s="21"/>
      <c r="CH1267" s="21"/>
      <c r="CI1267" s="21"/>
      <c r="CJ1267" s="21"/>
    </row>
    <row r="1268" spans="60:88" x14ac:dyDescent="0.25">
      <c r="BH1268" s="21"/>
      <c r="BI1268" s="21"/>
      <c r="BJ1268" s="21"/>
      <c r="BK1268" s="21"/>
      <c r="BL1268" s="21"/>
      <c r="BM1268" s="21"/>
      <c r="BN1268" s="21"/>
      <c r="BO1268" s="21"/>
      <c r="BQ1268" s="21"/>
      <c r="BR1268" s="21"/>
      <c r="BS1268" s="21"/>
      <c r="BU1268" s="21"/>
      <c r="BX1268" s="21"/>
      <c r="CG1268" s="21"/>
      <c r="CH1268" s="21"/>
      <c r="CI1268" s="21"/>
      <c r="CJ1268" s="21"/>
    </row>
    <row r="1269" spans="60:88" x14ac:dyDescent="0.25">
      <c r="BH1269" s="21"/>
      <c r="BI1269" s="21"/>
      <c r="BJ1269" s="21"/>
      <c r="BK1269" s="21"/>
      <c r="BL1269" s="21"/>
      <c r="BM1269" s="21"/>
      <c r="BN1269" s="21"/>
      <c r="BO1269" s="21"/>
      <c r="BQ1269" s="21"/>
      <c r="BR1269" s="21"/>
      <c r="BS1269" s="21"/>
      <c r="BU1269" s="21"/>
      <c r="BX1269" s="21"/>
      <c r="CG1269" s="21"/>
      <c r="CH1269" s="21"/>
      <c r="CI1269" s="21"/>
      <c r="CJ1269" s="21"/>
    </row>
    <row r="1270" spans="60:88" x14ac:dyDescent="0.25">
      <c r="BH1270" s="21"/>
      <c r="BI1270" s="21"/>
      <c r="BJ1270" s="21"/>
      <c r="BK1270" s="21"/>
      <c r="BL1270" s="21"/>
      <c r="BM1270" s="21"/>
      <c r="BN1270" s="21"/>
      <c r="BO1270" s="21"/>
      <c r="BQ1270" s="21"/>
      <c r="BR1270" s="21"/>
      <c r="BS1270" s="21"/>
      <c r="BU1270" s="21"/>
      <c r="BX1270" s="21"/>
      <c r="CG1270" s="21"/>
      <c r="CH1270" s="21"/>
      <c r="CI1270" s="21"/>
      <c r="CJ1270" s="21"/>
    </row>
    <row r="1271" spans="60:88" x14ac:dyDescent="0.25">
      <c r="BH1271" s="21"/>
      <c r="BI1271" s="21"/>
      <c r="BJ1271" s="21"/>
      <c r="BK1271" s="21"/>
      <c r="BL1271" s="21"/>
      <c r="BM1271" s="21"/>
      <c r="BN1271" s="21"/>
      <c r="BO1271" s="21"/>
      <c r="BQ1271" s="21"/>
      <c r="BR1271" s="21"/>
      <c r="BS1271" s="21"/>
      <c r="BU1271" s="21"/>
      <c r="BX1271" s="21"/>
      <c r="CG1271" s="21"/>
      <c r="CH1271" s="21"/>
      <c r="CI1271" s="21"/>
      <c r="CJ1271" s="21"/>
    </row>
    <row r="1272" spans="60:88" x14ac:dyDescent="0.25">
      <c r="BH1272" s="21"/>
      <c r="BI1272" s="21"/>
      <c r="BJ1272" s="21"/>
      <c r="BK1272" s="21"/>
      <c r="BL1272" s="21"/>
      <c r="BM1272" s="21"/>
      <c r="BN1272" s="21"/>
      <c r="BO1272" s="21"/>
      <c r="BQ1272" s="21"/>
      <c r="BR1272" s="21"/>
      <c r="BS1272" s="21"/>
      <c r="BU1272" s="21"/>
      <c r="BX1272" s="21"/>
      <c r="CG1272" s="21"/>
      <c r="CH1272" s="21"/>
      <c r="CI1272" s="21"/>
      <c r="CJ1272" s="21"/>
    </row>
    <row r="1273" spans="60:88" x14ac:dyDescent="0.25">
      <c r="BH1273" s="21"/>
      <c r="BI1273" s="21"/>
      <c r="BJ1273" s="21"/>
      <c r="BK1273" s="21"/>
      <c r="BL1273" s="21"/>
      <c r="BM1273" s="21"/>
      <c r="BN1273" s="21"/>
      <c r="BO1273" s="21"/>
      <c r="BQ1273" s="21"/>
      <c r="BR1273" s="21"/>
      <c r="BS1273" s="21"/>
      <c r="BU1273" s="21"/>
      <c r="BX1273" s="21"/>
      <c r="CG1273" s="21"/>
      <c r="CH1273" s="21"/>
      <c r="CI1273" s="21"/>
      <c r="CJ1273" s="21"/>
    </row>
    <row r="1274" spans="60:88" x14ac:dyDescent="0.25">
      <c r="BH1274" s="21"/>
      <c r="BI1274" s="21"/>
      <c r="BJ1274" s="21"/>
      <c r="BK1274" s="21"/>
      <c r="BL1274" s="21"/>
      <c r="BM1274" s="21"/>
      <c r="BN1274" s="21"/>
      <c r="BO1274" s="21"/>
      <c r="BQ1274" s="21"/>
      <c r="BR1274" s="21"/>
      <c r="BS1274" s="21"/>
      <c r="BU1274" s="21"/>
      <c r="BX1274" s="21"/>
      <c r="CG1274" s="21"/>
      <c r="CH1274" s="21"/>
      <c r="CI1274" s="21"/>
      <c r="CJ1274" s="21"/>
    </row>
    <row r="1275" spans="60:88" x14ac:dyDescent="0.25">
      <c r="BH1275" s="21"/>
      <c r="BI1275" s="21"/>
      <c r="BJ1275" s="21"/>
      <c r="BK1275" s="21"/>
      <c r="BL1275" s="21"/>
      <c r="BM1275" s="21"/>
      <c r="BN1275" s="21"/>
      <c r="BO1275" s="21"/>
      <c r="BQ1275" s="21"/>
      <c r="BR1275" s="21"/>
      <c r="BS1275" s="21"/>
      <c r="BU1275" s="21"/>
      <c r="BX1275" s="21"/>
      <c r="CG1275" s="21"/>
      <c r="CH1275" s="21"/>
      <c r="CI1275" s="21"/>
      <c r="CJ1275" s="21"/>
    </row>
    <row r="1276" spans="60:88" x14ac:dyDescent="0.25">
      <c r="BH1276" s="21"/>
      <c r="BI1276" s="21"/>
      <c r="BJ1276" s="21"/>
      <c r="BK1276" s="21"/>
      <c r="BL1276" s="21"/>
      <c r="BM1276" s="21"/>
      <c r="BN1276" s="21"/>
      <c r="BO1276" s="21"/>
      <c r="BQ1276" s="21"/>
      <c r="BR1276" s="21"/>
      <c r="BS1276" s="21"/>
      <c r="BU1276" s="21"/>
      <c r="BX1276" s="21"/>
      <c r="CG1276" s="21"/>
      <c r="CH1276" s="21"/>
      <c r="CI1276" s="21"/>
      <c r="CJ1276" s="21"/>
    </row>
    <row r="1277" spans="60:88" x14ac:dyDescent="0.25">
      <c r="BH1277" s="21"/>
      <c r="BI1277" s="21"/>
      <c r="BJ1277" s="21"/>
      <c r="BK1277" s="21"/>
      <c r="BL1277" s="21"/>
      <c r="BM1277" s="21"/>
      <c r="BN1277" s="21"/>
      <c r="BO1277" s="21"/>
      <c r="BQ1277" s="21"/>
      <c r="BR1277" s="21"/>
      <c r="BS1277" s="21"/>
      <c r="BU1277" s="21"/>
      <c r="BX1277" s="21"/>
      <c r="CG1277" s="21"/>
      <c r="CH1277" s="21"/>
      <c r="CI1277" s="21"/>
      <c r="CJ1277" s="21"/>
    </row>
    <row r="1278" spans="60:88" x14ac:dyDescent="0.25">
      <c r="BH1278" s="21"/>
      <c r="BI1278" s="21"/>
      <c r="BJ1278" s="21"/>
      <c r="BK1278" s="21"/>
      <c r="BL1278" s="21"/>
      <c r="BM1278" s="21"/>
      <c r="BN1278" s="21"/>
      <c r="BO1278" s="21"/>
      <c r="BQ1278" s="21"/>
      <c r="BR1278" s="21"/>
      <c r="BS1278" s="21"/>
      <c r="BU1278" s="21"/>
      <c r="BX1278" s="21"/>
      <c r="CG1278" s="21"/>
      <c r="CH1278" s="21"/>
      <c r="CI1278" s="21"/>
      <c r="CJ1278" s="21"/>
    </row>
    <row r="1279" spans="60:88" x14ac:dyDescent="0.25">
      <c r="BH1279" s="21"/>
      <c r="BI1279" s="21"/>
      <c r="BJ1279" s="21"/>
      <c r="BK1279" s="21"/>
      <c r="BL1279" s="21"/>
      <c r="BM1279" s="21"/>
      <c r="BN1279" s="21"/>
      <c r="BO1279" s="21"/>
      <c r="BQ1279" s="21"/>
      <c r="BR1279" s="21"/>
      <c r="BS1279" s="21"/>
      <c r="BU1279" s="21"/>
      <c r="BX1279" s="21"/>
      <c r="CG1279" s="21"/>
      <c r="CH1279" s="21"/>
      <c r="CI1279" s="21"/>
      <c r="CJ1279" s="21"/>
    </row>
    <row r="1280" spans="60:88" x14ac:dyDescent="0.25">
      <c r="BH1280" s="21"/>
      <c r="BI1280" s="21"/>
      <c r="BJ1280" s="21"/>
      <c r="BK1280" s="21"/>
      <c r="BL1280" s="21"/>
      <c r="BM1280" s="21"/>
      <c r="BN1280" s="21"/>
      <c r="BO1280" s="21"/>
      <c r="BQ1280" s="21"/>
      <c r="BR1280" s="21"/>
      <c r="BS1280" s="21"/>
      <c r="BU1280" s="21"/>
      <c r="BX1280" s="21"/>
      <c r="CG1280" s="21"/>
      <c r="CH1280" s="21"/>
      <c r="CI1280" s="21"/>
      <c r="CJ1280" s="21"/>
    </row>
    <row r="1281" spans="60:88" x14ac:dyDescent="0.25">
      <c r="BH1281" s="21"/>
      <c r="BI1281" s="21"/>
      <c r="BJ1281" s="21"/>
      <c r="BK1281" s="21"/>
      <c r="BL1281" s="21"/>
      <c r="BM1281" s="21"/>
      <c r="BN1281" s="21"/>
      <c r="BO1281" s="21"/>
      <c r="BQ1281" s="21"/>
      <c r="BR1281" s="21"/>
      <c r="BS1281" s="21"/>
      <c r="BU1281" s="21"/>
      <c r="BX1281" s="21"/>
      <c r="CG1281" s="21"/>
      <c r="CH1281" s="21"/>
      <c r="CI1281" s="21"/>
      <c r="CJ1281" s="21"/>
    </row>
    <row r="1282" spans="60:88" x14ac:dyDescent="0.25">
      <c r="BH1282" s="21"/>
      <c r="BI1282" s="21"/>
      <c r="BJ1282" s="21"/>
      <c r="BK1282" s="21"/>
      <c r="BL1282" s="21"/>
      <c r="BM1282" s="21"/>
      <c r="BN1282" s="21"/>
      <c r="BO1282" s="21"/>
      <c r="BQ1282" s="21"/>
      <c r="BR1282" s="21"/>
      <c r="BS1282" s="21"/>
      <c r="BU1282" s="21"/>
      <c r="BX1282" s="21"/>
      <c r="CG1282" s="21"/>
      <c r="CH1282" s="21"/>
      <c r="CI1282" s="21"/>
      <c r="CJ1282" s="21"/>
    </row>
    <row r="1283" spans="60:88" x14ac:dyDescent="0.25">
      <c r="BH1283" s="21"/>
      <c r="BI1283" s="21"/>
      <c r="BJ1283" s="21"/>
      <c r="BK1283" s="21"/>
      <c r="BL1283" s="21"/>
      <c r="BM1283" s="21"/>
      <c r="BN1283" s="21"/>
      <c r="BO1283" s="21"/>
      <c r="BQ1283" s="21"/>
      <c r="BR1283" s="21"/>
      <c r="BS1283" s="21"/>
      <c r="BU1283" s="21"/>
      <c r="BX1283" s="21"/>
      <c r="CG1283" s="21"/>
      <c r="CH1283" s="21"/>
      <c r="CI1283" s="21"/>
      <c r="CJ1283" s="21"/>
    </row>
    <row r="1284" spans="60:88" x14ac:dyDescent="0.25">
      <c r="BH1284" s="21"/>
      <c r="BI1284" s="21"/>
      <c r="BJ1284" s="21"/>
      <c r="BK1284" s="21"/>
      <c r="BL1284" s="21"/>
      <c r="BM1284" s="21"/>
      <c r="BN1284" s="21"/>
      <c r="BO1284" s="21"/>
      <c r="BQ1284" s="21"/>
      <c r="BR1284" s="21"/>
      <c r="BS1284" s="21"/>
      <c r="BU1284" s="21"/>
      <c r="BX1284" s="21"/>
      <c r="CG1284" s="21"/>
      <c r="CH1284" s="21"/>
      <c r="CI1284" s="21"/>
      <c r="CJ1284" s="21"/>
    </row>
    <row r="1285" spans="60:88" x14ac:dyDescent="0.25">
      <c r="BH1285" s="21"/>
      <c r="BI1285" s="21"/>
      <c r="BJ1285" s="21"/>
      <c r="BK1285" s="21"/>
      <c r="BL1285" s="21"/>
      <c r="BM1285" s="21"/>
      <c r="BN1285" s="21"/>
      <c r="BO1285" s="21"/>
      <c r="BQ1285" s="21"/>
      <c r="BR1285" s="21"/>
      <c r="BS1285" s="21"/>
      <c r="BU1285" s="21"/>
      <c r="BX1285" s="21"/>
      <c r="CG1285" s="21"/>
      <c r="CH1285" s="21"/>
      <c r="CI1285" s="21"/>
      <c r="CJ1285" s="21"/>
    </row>
    <row r="1286" spans="60:88" x14ac:dyDescent="0.25">
      <c r="BH1286" s="21"/>
      <c r="BI1286" s="21"/>
      <c r="BJ1286" s="21"/>
      <c r="BK1286" s="21"/>
      <c r="BL1286" s="21"/>
      <c r="BM1286" s="21"/>
      <c r="BN1286" s="21"/>
      <c r="BO1286" s="21"/>
      <c r="BQ1286" s="21"/>
      <c r="BR1286" s="21"/>
      <c r="BS1286" s="21"/>
      <c r="BU1286" s="21"/>
      <c r="BX1286" s="21"/>
      <c r="CG1286" s="21"/>
      <c r="CH1286" s="21"/>
      <c r="CI1286" s="21"/>
      <c r="CJ1286" s="21"/>
    </row>
    <row r="1287" spans="60:88" x14ac:dyDescent="0.25">
      <c r="BH1287" s="21"/>
      <c r="BI1287" s="21"/>
      <c r="BJ1287" s="21"/>
      <c r="BK1287" s="21"/>
      <c r="BL1287" s="21"/>
      <c r="BM1287" s="21"/>
      <c r="BN1287" s="21"/>
      <c r="BO1287" s="21"/>
      <c r="BQ1287" s="21"/>
      <c r="BR1287" s="21"/>
      <c r="BS1287" s="21"/>
      <c r="BU1287" s="21"/>
      <c r="BX1287" s="21"/>
      <c r="CG1287" s="21"/>
      <c r="CH1287" s="21"/>
      <c r="CI1287" s="21"/>
      <c r="CJ1287" s="21"/>
    </row>
    <row r="1288" spans="60:88" x14ac:dyDescent="0.25">
      <c r="BH1288" s="21"/>
      <c r="BI1288" s="21"/>
      <c r="BJ1288" s="21"/>
      <c r="BK1288" s="21"/>
      <c r="BL1288" s="21"/>
      <c r="BM1288" s="21"/>
      <c r="BN1288" s="21"/>
      <c r="BO1288" s="21"/>
      <c r="BQ1288" s="21"/>
      <c r="BR1288" s="21"/>
      <c r="BS1288" s="21"/>
      <c r="BU1288" s="21"/>
      <c r="BX1288" s="21"/>
      <c r="CG1288" s="21"/>
      <c r="CH1288" s="21"/>
      <c r="CI1288" s="21"/>
      <c r="CJ1288" s="21"/>
    </row>
    <row r="1289" spans="60:88" x14ac:dyDescent="0.25">
      <c r="BH1289" s="21"/>
      <c r="BI1289" s="21"/>
      <c r="BJ1289" s="21"/>
      <c r="BK1289" s="21"/>
      <c r="BL1289" s="21"/>
      <c r="BM1289" s="21"/>
      <c r="BN1289" s="21"/>
      <c r="BO1289" s="21"/>
      <c r="BQ1289" s="21"/>
      <c r="BR1289" s="21"/>
      <c r="BS1289" s="21"/>
      <c r="BU1289" s="21"/>
      <c r="BX1289" s="21"/>
      <c r="CG1289" s="21"/>
      <c r="CH1289" s="21"/>
      <c r="CI1289" s="21"/>
      <c r="CJ1289" s="21"/>
    </row>
    <row r="1290" spans="60:88" x14ac:dyDescent="0.25">
      <c r="BH1290" s="21"/>
      <c r="BI1290" s="21"/>
      <c r="BJ1290" s="21"/>
      <c r="BK1290" s="21"/>
      <c r="BL1290" s="21"/>
      <c r="BM1290" s="21"/>
      <c r="BN1290" s="21"/>
      <c r="BO1290" s="21"/>
      <c r="BQ1290" s="21"/>
      <c r="BR1290" s="21"/>
      <c r="BS1290" s="21"/>
      <c r="BU1290" s="21"/>
      <c r="BX1290" s="21"/>
      <c r="CG1290" s="21"/>
      <c r="CH1290" s="21"/>
      <c r="CI1290" s="21"/>
      <c r="CJ1290" s="21"/>
    </row>
    <row r="1291" spans="60:88" x14ac:dyDescent="0.25">
      <c r="BH1291" s="21"/>
      <c r="BI1291" s="21"/>
      <c r="BJ1291" s="21"/>
      <c r="BK1291" s="21"/>
      <c r="BL1291" s="21"/>
      <c r="BM1291" s="21"/>
      <c r="BN1291" s="21"/>
      <c r="BO1291" s="21"/>
      <c r="BQ1291" s="21"/>
      <c r="BR1291" s="21"/>
      <c r="BS1291" s="21"/>
      <c r="BU1291" s="21"/>
      <c r="BX1291" s="21"/>
      <c r="CG1291" s="21"/>
      <c r="CH1291" s="21"/>
      <c r="CI1291" s="21"/>
      <c r="CJ1291" s="21"/>
    </row>
    <row r="1292" spans="60:88" x14ac:dyDescent="0.25">
      <c r="BH1292" s="21"/>
      <c r="BI1292" s="21"/>
      <c r="BJ1292" s="21"/>
      <c r="BK1292" s="21"/>
      <c r="BL1292" s="21"/>
      <c r="BM1292" s="21"/>
      <c r="BN1292" s="21"/>
      <c r="BO1292" s="21"/>
      <c r="BQ1292" s="21"/>
      <c r="BR1292" s="21"/>
      <c r="BS1292" s="21"/>
      <c r="BU1292" s="21"/>
      <c r="BX1292" s="21"/>
      <c r="CG1292" s="21"/>
      <c r="CH1292" s="21"/>
      <c r="CI1292" s="21"/>
      <c r="CJ1292" s="21"/>
    </row>
    <row r="1293" spans="60:88" x14ac:dyDescent="0.25">
      <c r="BH1293" s="21"/>
      <c r="BI1293" s="21"/>
      <c r="BJ1293" s="21"/>
      <c r="BK1293" s="21"/>
      <c r="BL1293" s="21"/>
      <c r="BM1293" s="21"/>
      <c r="BN1293" s="21"/>
      <c r="BO1293" s="21"/>
      <c r="BQ1293" s="21"/>
      <c r="BR1293" s="21"/>
      <c r="BS1293" s="21"/>
      <c r="BU1293" s="21"/>
      <c r="BX1293" s="21"/>
      <c r="CG1293" s="21"/>
      <c r="CH1293" s="21"/>
      <c r="CI1293" s="21"/>
      <c r="CJ1293" s="21"/>
    </row>
    <row r="1294" spans="60:88" x14ac:dyDescent="0.25">
      <c r="BH1294" s="21"/>
      <c r="BI1294" s="21"/>
      <c r="BJ1294" s="21"/>
      <c r="BK1294" s="21"/>
      <c r="BL1294" s="21"/>
      <c r="BM1294" s="21"/>
      <c r="BN1294" s="21"/>
      <c r="BO1294" s="21"/>
      <c r="BQ1294" s="21"/>
      <c r="BR1294" s="21"/>
      <c r="BS1294" s="21"/>
      <c r="BU1294" s="21"/>
      <c r="BX1294" s="21"/>
      <c r="CG1294" s="21"/>
      <c r="CH1294" s="21"/>
      <c r="CI1294" s="21"/>
      <c r="CJ1294" s="21"/>
    </row>
    <row r="1295" spans="60:88" x14ac:dyDescent="0.25">
      <c r="BH1295" s="21"/>
      <c r="BI1295" s="21"/>
      <c r="BJ1295" s="21"/>
      <c r="BK1295" s="21"/>
      <c r="BL1295" s="21"/>
      <c r="BM1295" s="21"/>
      <c r="BN1295" s="21"/>
      <c r="BO1295" s="21"/>
      <c r="BQ1295" s="21"/>
      <c r="BR1295" s="21"/>
      <c r="BS1295" s="21"/>
      <c r="BU1295" s="21"/>
      <c r="BX1295" s="21"/>
      <c r="CG1295" s="21"/>
      <c r="CH1295" s="21"/>
      <c r="CI1295" s="21"/>
      <c r="CJ1295" s="21"/>
    </row>
    <row r="1296" spans="60:88" x14ac:dyDescent="0.25">
      <c r="BH1296" s="21"/>
      <c r="BI1296" s="21"/>
      <c r="BJ1296" s="21"/>
      <c r="BK1296" s="21"/>
      <c r="BL1296" s="21"/>
      <c r="BM1296" s="21"/>
      <c r="BN1296" s="21"/>
      <c r="BO1296" s="21"/>
      <c r="BQ1296" s="21"/>
      <c r="BR1296" s="21"/>
      <c r="BS1296" s="21"/>
      <c r="BU1296" s="21"/>
      <c r="BX1296" s="21"/>
      <c r="CG1296" s="21"/>
      <c r="CH1296" s="21"/>
      <c r="CI1296" s="21"/>
      <c r="CJ1296" s="21"/>
    </row>
    <row r="1297" spans="60:88" x14ac:dyDescent="0.25">
      <c r="BH1297" s="21"/>
      <c r="BI1297" s="21"/>
      <c r="BJ1297" s="21"/>
      <c r="BK1297" s="21"/>
      <c r="BL1297" s="21"/>
      <c r="BM1297" s="21"/>
      <c r="BN1297" s="21"/>
      <c r="BO1297" s="21"/>
      <c r="BQ1297" s="21"/>
      <c r="BR1297" s="21"/>
      <c r="BS1297" s="21"/>
      <c r="BU1297" s="21"/>
      <c r="BX1297" s="21"/>
      <c r="CG1297" s="21"/>
      <c r="CH1297" s="21"/>
      <c r="CI1297" s="21"/>
      <c r="CJ1297" s="21"/>
    </row>
    <row r="1298" spans="60:88" x14ac:dyDescent="0.25">
      <c r="BH1298" s="21"/>
      <c r="BI1298" s="21"/>
      <c r="BJ1298" s="21"/>
      <c r="BK1298" s="21"/>
      <c r="BL1298" s="21"/>
      <c r="BM1298" s="21"/>
      <c r="BN1298" s="21"/>
      <c r="BO1298" s="21"/>
      <c r="BQ1298" s="21"/>
      <c r="BR1298" s="21"/>
      <c r="BS1298" s="21"/>
      <c r="BU1298" s="21"/>
      <c r="BX1298" s="21"/>
      <c r="CG1298" s="21"/>
      <c r="CH1298" s="21"/>
      <c r="CI1298" s="21"/>
      <c r="CJ1298" s="21"/>
    </row>
    <row r="1299" spans="60:88" x14ac:dyDescent="0.25">
      <c r="BH1299" s="21"/>
      <c r="BI1299" s="21"/>
      <c r="BJ1299" s="21"/>
      <c r="BK1299" s="21"/>
      <c r="BL1299" s="21"/>
      <c r="BM1299" s="21"/>
      <c r="BN1299" s="21"/>
      <c r="BO1299" s="21"/>
      <c r="BQ1299" s="21"/>
      <c r="BR1299" s="21"/>
      <c r="BS1299" s="21"/>
      <c r="BU1299" s="21"/>
      <c r="BX1299" s="21"/>
      <c r="CG1299" s="21"/>
      <c r="CH1299" s="21"/>
      <c r="CI1299" s="21"/>
      <c r="CJ1299" s="21"/>
    </row>
    <row r="1300" spans="60:88" x14ac:dyDescent="0.25">
      <c r="BH1300" s="21"/>
      <c r="BI1300" s="21"/>
      <c r="BJ1300" s="21"/>
      <c r="BK1300" s="21"/>
      <c r="BL1300" s="21"/>
      <c r="BM1300" s="21"/>
      <c r="BN1300" s="21"/>
      <c r="BO1300" s="21"/>
      <c r="BQ1300" s="21"/>
      <c r="BR1300" s="21"/>
      <c r="BS1300" s="21"/>
      <c r="BU1300" s="21"/>
      <c r="BX1300" s="21"/>
      <c r="CG1300" s="21"/>
      <c r="CH1300" s="21"/>
      <c r="CI1300" s="21"/>
      <c r="CJ1300" s="21"/>
    </row>
    <row r="1301" spans="60:88" x14ac:dyDescent="0.25">
      <c r="BH1301" s="21"/>
      <c r="BI1301" s="21"/>
      <c r="BJ1301" s="21"/>
      <c r="BK1301" s="21"/>
      <c r="BL1301" s="21"/>
      <c r="BM1301" s="21"/>
      <c r="BN1301" s="21"/>
      <c r="BO1301" s="21"/>
      <c r="BQ1301" s="21"/>
      <c r="BR1301" s="21"/>
      <c r="BS1301" s="21"/>
      <c r="BU1301" s="21"/>
      <c r="BX1301" s="21"/>
      <c r="CG1301" s="21"/>
      <c r="CH1301" s="21"/>
      <c r="CI1301" s="21"/>
      <c r="CJ1301" s="21"/>
    </row>
    <row r="1302" spans="60:88" x14ac:dyDescent="0.25">
      <c r="BH1302" s="21"/>
      <c r="BI1302" s="21"/>
      <c r="BJ1302" s="21"/>
      <c r="BK1302" s="21"/>
      <c r="BL1302" s="21"/>
      <c r="BM1302" s="21"/>
      <c r="BN1302" s="21"/>
      <c r="BO1302" s="21"/>
      <c r="BQ1302" s="21"/>
      <c r="BR1302" s="21"/>
      <c r="BS1302" s="21"/>
      <c r="BU1302" s="21"/>
      <c r="BX1302" s="21"/>
      <c r="CG1302" s="21"/>
      <c r="CH1302" s="21"/>
      <c r="CI1302" s="21"/>
      <c r="CJ1302" s="21"/>
    </row>
    <row r="1303" spans="60:88" x14ac:dyDescent="0.25">
      <c r="BH1303" s="21"/>
      <c r="BI1303" s="21"/>
      <c r="BJ1303" s="21"/>
      <c r="BK1303" s="21"/>
      <c r="BL1303" s="21"/>
      <c r="BM1303" s="21"/>
      <c r="BN1303" s="21"/>
      <c r="BO1303" s="21"/>
      <c r="BQ1303" s="21"/>
      <c r="BR1303" s="21"/>
      <c r="BS1303" s="21"/>
      <c r="BU1303" s="21"/>
      <c r="BX1303" s="21"/>
      <c r="CG1303" s="21"/>
      <c r="CH1303" s="21"/>
      <c r="CI1303" s="21"/>
      <c r="CJ1303" s="21"/>
    </row>
    <row r="1304" spans="60:88" x14ac:dyDescent="0.25">
      <c r="BH1304" s="21"/>
      <c r="BI1304" s="21"/>
      <c r="BJ1304" s="21"/>
      <c r="BK1304" s="21"/>
      <c r="BL1304" s="21"/>
      <c r="BM1304" s="21"/>
      <c r="BN1304" s="21"/>
      <c r="BO1304" s="21"/>
      <c r="BQ1304" s="21"/>
      <c r="BR1304" s="21"/>
      <c r="BS1304" s="21"/>
      <c r="BU1304" s="21"/>
      <c r="BX1304" s="21"/>
      <c r="CG1304" s="21"/>
      <c r="CH1304" s="21"/>
      <c r="CI1304" s="21"/>
      <c r="CJ1304" s="21"/>
    </row>
    <row r="1305" spans="60:88" x14ac:dyDescent="0.25">
      <c r="BH1305" s="21"/>
      <c r="BI1305" s="21"/>
      <c r="BJ1305" s="21"/>
      <c r="BK1305" s="21"/>
      <c r="BL1305" s="21"/>
      <c r="BM1305" s="21"/>
      <c r="BN1305" s="21"/>
      <c r="BO1305" s="21"/>
      <c r="BQ1305" s="21"/>
      <c r="BR1305" s="21"/>
      <c r="BS1305" s="21"/>
      <c r="BU1305" s="21"/>
      <c r="BX1305" s="21"/>
      <c r="CG1305" s="21"/>
      <c r="CH1305" s="21"/>
      <c r="CI1305" s="21"/>
      <c r="CJ1305" s="21"/>
    </row>
    <row r="1306" spans="60:88" x14ac:dyDescent="0.25">
      <c r="BH1306" s="21"/>
      <c r="BI1306" s="21"/>
      <c r="BJ1306" s="21"/>
      <c r="BK1306" s="21"/>
      <c r="BL1306" s="21"/>
      <c r="BM1306" s="21"/>
      <c r="BN1306" s="21"/>
      <c r="BO1306" s="21"/>
      <c r="BQ1306" s="21"/>
      <c r="BR1306" s="21"/>
      <c r="BS1306" s="21"/>
      <c r="BU1306" s="21"/>
      <c r="BX1306" s="21"/>
      <c r="CG1306" s="21"/>
      <c r="CH1306" s="21"/>
      <c r="CI1306" s="21"/>
      <c r="CJ1306" s="21"/>
    </row>
    <row r="1307" spans="60:88" x14ac:dyDescent="0.25">
      <c r="BH1307" s="21"/>
      <c r="BI1307" s="21"/>
      <c r="BJ1307" s="21"/>
      <c r="BK1307" s="21"/>
      <c r="BL1307" s="21"/>
      <c r="BM1307" s="21"/>
      <c r="BN1307" s="21"/>
      <c r="BO1307" s="21"/>
      <c r="BQ1307" s="21"/>
      <c r="BR1307" s="21"/>
      <c r="BS1307" s="21"/>
      <c r="BU1307" s="21"/>
      <c r="BX1307" s="21"/>
      <c r="CG1307" s="21"/>
      <c r="CH1307" s="21"/>
      <c r="CI1307" s="21"/>
      <c r="CJ1307" s="21"/>
    </row>
    <row r="1308" spans="60:88" x14ac:dyDescent="0.25">
      <c r="BH1308" s="21"/>
      <c r="BI1308" s="21"/>
      <c r="BJ1308" s="21"/>
      <c r="BK1308" s="21"/>
      <c r="BL1308" s="21"/>
      <c r="BM1308" s="21"/>
      <c r="BN1308" s="21"/>
      <c r="BO1308" s="21"/>
      <c r="BQ1308" s="21"/>
      <c r="BR1308" s="21"/>
      <c r="BS1308" s="21"/>
      <c r="BU1308" s="21"/>
      <c r="BX1308" s="21"/>
      <c r="CG1308" s="21"/>
      <c r="CH1308" s="21"/>
      <c r="CI1308" s="21"/>
      <c r="CJ1308" s="21"/>
    </row>
    <row r="1309" spans="60:88" x14ac:dyDescent="0.25">
      <c r="BH1309" s="21"/>
      <c r="BI1309" s="21"/>
      <c r="BJ1309" s="21"/>
      <c r="BK1309" s="21"/>
      <c r="BL1309" s="21"/>
      <c r="BM1309" s="21"/>
      <c r="BN1309" s="21"/>
      <c r="BO1309" s="21"/>
      <c r="BQ1309" s="21"/>
      <c r="BR1309" s="21"/>
      <c r="BS1309" s="21"/>
      <c r="BU1309" s="21"/>
      <c r="BX1309" s="21"/>
      <c r="CG1309" s="21"/>
      <c r="CH1309" s="21"/>
      <c r="CI1309" s="21"/>
      <c r="CJ1309" s="21"/>
    </row>
    <row r="1310" spans="60:88" x14ac:dyDescent="0.25">
      <c r="BH1310" s="21"/>
      <c r="BI1310" s="21"/>
      <c r="BJ1310" s="21"/>
      <c r="BK1310" s="21"/>
      <c r="BL1310" s="21"/>
      <c r="BM1310" s="21"/>
      <c r="BN1310" s="21"/>
      <c r="BO1310" s="21"/>
      <c r="BQ1310" s="21"/>
      <c r="BR1310" s="21"/>
      <c r="BS1310" s="21"/>
      <c r="BU1310" s="21"/>
      <c r="BX1310" s="21"/>
      <c r="CG1310" s="21"/>
      <c r="CH1310" s="21"/>
      <c r="CI1310" s="21"/>
      <c r="CJ1310" s="21"/>
    </row>
    <row r="1311" spans="60:88" x14ac:dyDescent="0.25">
      <c r="BH1311" s="21"/>
      <c r="BI1311" s="21"/>
      <c r="BJ1311" s="21"/>
      <c r="BK1311" s="21"/>
      <c r="BL1311" s="21"/>
      <c r="BM1311" s="21"/>
      <c r="BN1311" s="21"/>
      <c r="BO1311" s="21"/>
      <c r="BQ1311" s="21"/>
      <c r="BR1311" s="21"/>
      <c r="BS1311" s="21"/>
      <c r="BU1311" s="21"/>
      <c r="BX1311" s="21"/>
      <c r="CG1311" s="21"/>
      <c r="CH1311" s="21"/>
      <c r="CI1311" s="21"/>
      <c r="CJ1311" s="21"/>
    </row>
    <row r="1312" spans="60:88" x14ac:dyDescent="0.25">
      <c r="BH1312" s="21"/>
      <c r="BI1312" s="21"/>
      <c r="BJ1312" s="21"/>
      <c r="BK1312" s="21"/>
      <c r="BL1312" s="21"/>
      <c r="BM1312" s="21"/>
      <c r="BN1312" s="21"/>
      <c r="BO1312" s="21"/>
      <c r="BQ1312" s="21"/>
      <c r="BR1312" s="21"/>
      <c r="BS1312" s="21"/>
      <c r="BU1312" s="21"/>
      <c r="BX1312" s="21"/>
      <c r="CG1312" s="21"/>
      <c r="CH1312" s="21"/>
      <c r="CI1312" s="21"/>
      <c r="CJ1312" s="21"/>
    </row>
    <row r="1313" spans="60:88" x14ac:dyDescent="0.25">
      <c r="BH1313" s="21"/>
      <c r="BI1313" s="21"/>
      <c r="BJ1313" s="21"/>
      <c r="BK1313" s="21"/>
      <c r="BL1313" s="21"/>
      <c r="BM1313" s="21"/>
      <c r="BN1313" s="21"/>
      <c r="BO1313" s="21"/>
      <c r="BQ1313" s="21"/>
      <c r="BR1313" s="21"/>
      <c r="BS1313" s="21"/>
      <c r="BU1313" s="21"/>
      <c r="BX1313" s="21"/>
      <c r="CG1313" s="21"/>
      <c r="CH1313" s="21"/>
      <c r="CI1313" s="21"/>
      <c r="CJ1313" s="21"/>
    </row>
    <row r="1314" spans="60:88" x14ac:dyDescent="0.25">
      <c r="BH1314" s="21"/>
      <c r="BI1314" s="21"/>
      <c r="BJ1314" s="21"/>
      <c r="BK1314" s="21"/>
      <c r="BL1314" s="21"/>
      <c r="BM1314" s="21"/>
      <c r="BN1314" s="21"/>
      <c r="BO1314" s="21"/>
      <c r="BQ1314" s="21"/>
      <c r="BR1314" s="21"/>
      <c r="BS1314" s="21"/>
      <c r="BU1314" s="21"/>
      <c r="BX1314" s="21"/>
      <c r="CG1314" s="21"/>
      <c r="CH1314" s="21"/>
      <c r="CI1314" s="21"/>
      <c r="CJ1314" s="21"/>
    </row>
    <row r="1315" spans="60:88" x14ac:dyDescent="0.25">
      <c r="BH1315" s="21"/>
      <c r="BI1315" s="21"/>
      <c r="BJ1315" s="21"/>
      <c r="BK1315" s="21"/>
      <c r="BL1315" s="21"/>
      <c r="BM1315" s="21"/>
      <c r="BN1315" s="21"/>
      <c r="BO1315" s="21"/>
      <c r="BQ1315" s="21"/>
      <c r="BR1315" s="21"/>
      <c r="BS1315" s="21"/>
      <c r="BU1315" s="21"/>
      <c r="BX1315" s="21"/>
      <c r="CG1315" s="21"/>
      <c r="CH1315" s="21"/>
      <c r="CI1315" s="21"/>
      <c r="CJ1315" s="21"/>
    </row>
    <row r="1316" spans="60:88" x14ac:dyDescent="0.25">
      <c r="BH1316" s="21"/>
      <c r="BI1316" s="21"/>
      <c r="BJ1316" s="21"/>
      <c r="BK1316" s="21"/>
      <c r="BL1316" s="21"/>
      <c r="BM1316" s="21"/>
      <c r="BN1316" s="21"/>
      <c r="BO1316" s="21"/>
      <c r="BQ1316" s="21"/>
      <c r="BR1316" s="21"/>
      <c r="BS1316" s="21"/>
      <c r="BU1316" s="21"/>
      <c r="BX1316" s="21"/>
      <c r="CG1316" s="21"/>
      <c r="CH1316" s="21"/>
      <c r="CI1316" s="21"/>
      <c r="CJ1316" s="21"/>
    </row>
    <row r="1317" spans="60:88" x14ac:dyDescent="0.25">
      <c r="BH1317" s="21"/>
      <c r="BI1317" s="21"/>
      <c r="BJ1317" s="21"/>
      <c r="BK1317" s="21"/>
      <c r="BL1317" s="21"/>
      <c r="BM1317" s="21"/>
      <c r="BN1317" s="21"/>
      <c r="BO1317" s="21"/>
      <c r="BQ1317" s="21"/>
      <c r="BR1317" s="21"/>
      <c r="BS1317" s="21"/>
      <c r="BU1317" s="21"/>
      <c r="BX1317" s="21"/>
      <c r="CG1317" s="21"/>
      <c r="CH1317" s="21"/>
      <c r="CI1317" s="21"/>
      <c r="CJ1317" s="21"/>
    </row>
    <row r="1318" spans="60:88" x14ac:dyDescent="0.25">
      <c r="BH1318" s="21"/>
      <c r="BI1318" s="21"/>
      <c r="BJ1318" s="21"/>
      <c r="BK1318" s="21"/>
      <c r="BL1318" s="21"/>
      <c r="BM1318" s="21"/>
      <c r="BN1318" s="21"/>
      <c r="BO1318" s="21"/>
      <c r="BQ1318" s="21"/>
      <c r="BR1318" s="21"/>
      <c r="BS1318" s="21"/>
      <c r="BU1318" s="21"/>
      <c r="BX1318" s="21"/>
      <c r="CG1318" s="21"/>
      <c r="CH1318" s="21"/>
      <c r="CI1318" s="21"/>
      <c r="CJ1318" s="21"/>
    </row>
    <row r="1319" spans="60:88" x14ac:dyDescent="0.25">
      <c r="BH1319" s="21"/>
      <c r="BI1319" s="21"/>
      <c r="BJ1319" s="21"/>
      <c r="BK1319" s="21"/>
      <c r="BL1319" s="21"/>
      <c r="BM1319" s="21"/>
      <c r="BN1319" s="21"/>
      <c r="BO1319" s="21"/>
      <c r="BQ1319" s="21"/>
      <c r="BR1319" s="21"/>
      <c r="BS1319" s="21"/>
      <c r="BU1319" s="21"/>
      <c r="BX1319" s="21"/>
      <c r="CG1319" s="21"/>
      <c r="CH1319" s="21"/>
      <c r="CI1319" s="21"/>
      <c r="CJ1319" s="21"/>
    </row>
    <row r="1320" spans="60:88" x14ac:dyDescent="0.25">
      <c r="BH1320" s="21"/>
      <c r="BI1320" s="21"/>
      <c r="BJ1320" s="21"/>
      <c r="BK1320" s="21"/>
      <c r="BL1320" s="21"/>
      <c r="BM1320" s="21"/>
      <c r="BN1320" s="21"/>
      <c r="BO1320" s="21"/>
      <c r="BQ1320" s="21"/>
      <c r="BR1320" s="21"/>
      <c r="BS1320" s="21"/>
      <c r="BU1320" s="21"/>
      <c r="BX1320" s="21"/>
      <c r="CG1320" s="21"/>
      <c r="CH1320" s="21"/>
      <c r="CI1320" s="21"/>
      <c r="CJ1320" s="21"/>
    </row>
    <row r="1321" spans="60:88" x14ac:dyDescent="0.25">
      <c r="BH1321" s="21"/>
      <c r="BI1321" s="21"/>
      <c r="BJ1321" s="21"/>
      <c r="BK1321" s="21"/>
      <c r="BL1321" s="21"/>
      <c r="BM1321" s="21"/>
      <c r="BN1321" s="21"/>
      <c r="BO1321" s="21"/>
      <c r="BQ1321" s="21"/>
      <c r="BR1321" s="21"/>
      <c r="BS1321" s="21"/>
      <c r="BU1321" s="21"/>
      <c r="BX1321" s="21"/>
      <c r="CG1321" s="21"/>
      <c r="CH1321" s="21"/>
      <c r="CI1321" s="21"/>
      <c r="CJ1321" s="21"/>
    </row>
    <row r="1322" spans="60:88" x14ac:dyDescent="0.25">
      <c r="BH1322" s="21"/>
      <c r="BI1322" s="21"/>
      <c r="BJ1322" s="21"/>
      <c r="BK1322" s="21"/>
      <c r="BL1322" s="21"/>
      <c r="BM1322" s="21"/>
      <c r="BN1322" s="21"/>
      <c r="BO1322" s="21"/>
      <c r="BQ1322" s="21"/>
      <c r="BR1322" s="21"/>
      <c r="BS1322" s="21"/>
      <c r="BU1322" s="21"/>
      <c r="BX1322" s="21"/>
      <c r="CG1322" s="21"/>
      <c r="CH1322" s="21"/>
      <c r="CI1322" s="21"/>
      <c r="CJ1322" s="21"/>
    </row>
    <row r="1323" spans="60:88" x14ac:dyDescent="0.25">
      <c r="BH1323" s="21"/>
      <c r="BI1323" s="21"/>
      <c r="BJ1323" s="21"/>
      <c r="BK1323" s="21"/>
      <c r="BL1323" s="21"/>
      <c r="BM1323" s="21"/>
      <c r="BN1323" s="21"/>
      <c r="BO1323" s="21"/>
      <c r="BQ1323" s="21"/>
      <c r="BR1323" s="21"/>
      <c r="BS1323" s="21"/>
      <c r="BU1323" s="21"/>
      <c r="BX1323" s="21"/>
      <c r="CG1323" s="21"/>
      <c r="CH1323" s="21"/>
      <c r="CI1323" s="21"/>
      <c r="CJ1323" s="21"/>
    </row>
    <row r="1324" spans="60:88" x14ac:dyDescent="0.25">
      <c r="BH1324" s="21"/>
      <c r="BI1324" s="21"/>
      <c r="BJ1324" s="21"/>
      <c r="BK1324" s="21"/>
      <c r="BL1324" s="21"/>
      <c r="BM1324" s="21"/>
      <c r="BN1324" s="21"/>
      <c r="BO1324" s="21"/>
      <c r="BQ1324" s="21"/>
      <c r="BR1324" s="21"/>
      <c r="BS1324" s="21"/>
      <c r="BU1324" s="21"/>
      <c r="BX1324" s="21"/>
      <c r="CG1324" s="21"/>
      <c r="CH1324" s="21"/>
      <c r="CI1324" s="21"/>
      <c r="CJ1324" s="21"/>
    </row>
    <row r="1325" spans="60:88" x14ac:dyDescent="0.25">
      <c r="BH1325" s="21"/>
      <c r="BI1325" s="21"/>
      <c r="BJ1325" s="21"/>
      <c r="BK1325" s="21"/>
      <c r="BL1325" s="21"/>
      <c r="BM1325" s="21"/>
      <c r="BN1325" s="21"/>
      <c r="BO1325" s="21"/>
      <c r="BQ1325" s="21"/>
      <c r="BR1325" s="21"/>
      <c r="BS1325" s="21"/>
      <c r="BU1325" s="21"/>
      <c r="BX1325" s="21"/>
      <c r="CG1325" s="21"/>
      <c r="CH1325" s="21"/>
      <c r="CI1325" s="21"/>
      <c r="CJ1325" s="21"/>
    </row>
    <row r="1326" spans="60:88" x14ac:dyDescent="0.25">
      <c r="BH1326" s="21"/>
      <c r="BI1326" s="21"/>
      <c r="BJ1326" s="21"/>
      <c r="BK1326" s="21"/>
      <c r="BL1326" s="21"/>
      <c r="BM1326" s="21"/>
      <c r="BN1326" s="21"/>
      <c r="BO1326" s="21"/>
      <c r="BQ1326" s="21"/>
      <c r="BR1326" s="21"/>
      <c r="BS1326" s="21"/>
      <c r="BU1326" s="21"/>
      <c r="BX1326" s="21"/>
      <c r="CG1326" s="21"/>
      <c r="CH1326" s="21"/>
      <c r="CI1326" s="21"/>
      <c r="CJ1326" s="21"/>
    </row>
    <row r="1327" spans="60:88" x14ac:dyDescent="0.25">
      <c r="BH1327" s="21"/>
      <c r="BI1327" s="21"/>
      <c r="BJ1327" s="21"/>
      <c r="BK1327" s="21"/>
      <c r="BL1327" s="21"/>
      <c r="BM1327" s="21"/>
      <c r="BN1327" s="21"/>
      <c r="BO1327" s="21"/>
      <c r="BQ1327" s="21"/>
      <c r="BR1327" s="21"/>
      <c r="BS1327" s="21"/>
      <c r="BU1327" s="21"/>
      <c r="BX1327" s="21"/>
      <c r="CG1327" s="21"/>
      <c r="CH1327" s="21"/>
      <c r="CI1327" s="21"/>
      <c r="CJ1327" s="21"/>
    </row>
    <row r="1328" spans="60:88" x14ac:dyDescent="0.25">
      <c r="BH1328" s="21"/>
      <c r="BI1328" s="21"/>
      <c r="BJ1328" s="21"/>
      <c r="BK1328" s="21"/>
      <c r="BL1328" s="21"/>
      <c r="BM1328" s="21"/>
      <c r="BN1328" s="21"/>
      <c r="BO1328" s="21"/>
      <c r="BQ1328" s="21"/>
      <c r="BR1328" s="21"/>
      <c r="BS1328" s="21"/>
      <c r="BU1328" s="21"/>
      <c r="BX1328" s="21"/>
      <c r="CG1328" s="21"/>
      <c r="CH1328" s="21"/>
      <c r="CI1328" s="21"/>
      <c r="CJ1328" s="21"/>
    </row>
    <row r="1329" spans="60:88" x14ac:dyDescent="0.25">
      <c r="BH1329" s="21"/>
      <c r="BI1329" s="21"/>
      <c r="BJ1329" s="21"/>
      <c r="BK1329" s="21"/>
      <c r="BL1329" s="21"/>
      <c r="BM1329" s="21"/>
      <c r="BN1329" s="21"/>
      <c r="BO1329" s="21"/>
      <c r="BQ1329" s="21"/>
      <c r="BR1329" s="21"/>
      <c r="BS1329" s="21"/>
      <c r="BU1329" s="21"/>
      <c r="BX1329" s="21"/>
      <c r="CG1329" s="21"/>
      <c r="CH1329" s="21"/>
      <c r="CI1329" s="21"/>
      <c r="CJ1329" s="21"/>
    </row>
    <row r="1330" spans="60:88" x14ac:dyDescent="0.25">
      <c r="BH1330" s="21"/>
      <c r="BI1330" s="21"/>
      <c r="BJ1330" s="21"/>
      <c r="BK1330" s="21"/>
      <c r="BL1330" s="21"/>
      <c r="BM1330" s="21"/>
      <c r="BN1330" s="21"/>
      <c r="BO1330" s="21"/>
      <c r="BQ1330" s="21"/>
      <c r="BR1330" s="21"/>
      <c r="BS1330" s="21"/>
      <c r="BU1330" s="21"/>
      <c r="BX1330" s="21"/>
      <c r="CG1330" s="21"/>
      <c r="CH1330" s="21"/>
      <c r="CI1330" s="21"/>
      <c r="CJ1330" s="21"/>
    </row>
    <row r="1331" spans="60:88" x14ac:dyDescent="0.25">
      <c r="BH1331" s="21"/>
      <c r="BI1331" s="21"/>
      <c r="BJ1331" s="21"/>
      <c r="BK1331" s="21"/>
      <c r="BL1331" s="21"/>
      <c r="BM1331" s="21"/>
      <c r="BN1331" s="21"/>
      <c r="BO1331" s="21"/>
      <c r="BQ1331" s="21"/>
      <c r="BR1331" s="21"/>
      <c r="BS1331" s="21"/>
      <c r="BU1331" s="21"/>
      <c r="BX1331" s="21"/>
      <c r="CG1331" s="21"/>
      <c r="CH1331" s="21"/>
      <c r="CI1331" s="21"/>
      <c r="CJ1331" s="21"/>
    </row>
    <row r="1332" spans="60:88" x14ac:dyDescent="0.25">
      <c r="BH1332" s="21"/>
      <c r="BI1332" s="21"/>
      <c r="BJ1332" s="21"/>
      <c r="BK1332" s="21"/>
      <c r="BL1332" s="21"/>
      <c r="BM1332" s="21"/>
      <c r="BN1332" s="21"/>
      <c r="BO1332" s="21"/>
      <c r="BQ1332" s="21"/>
      <c r="BR1332" s="21"/>
      <c r="BS1332" s="21"/>
      <c r="BU1332" s="21"/>
      <c r="BX1332" s="21"/>
      <c r="CG1332" s="21"/>
      <c r="CH1332" s="21"/>
      <c r="CI1332" s="21"/>
      <c r="CJ1332" s="21"/>
    </row>
    <row r="1333" spans="60:88" x14ac:dyDescent="0.25">
      <c r="BH1333" s="21"/>
      <c r="BI1333" s="21"/>
      <c r="BJ1333" s="21"/>
      <c r="BK1333" s="21"/>
      <c r="BL1333" s="21"/>
      <c r="BM1333" s="21"/>
      <c r="BN1333" s="21"/>
      <c r="BO1333" s="21"/>
      <c r="BQ1333" s="21"/>
      <c r="BR1333" s="21"/>
      <c r="BS1333" s="21"/>
      <c r="BU1333" s="21"/>
      <c r="BX1333" s="21"/>
      <c r="CG1333" s="21"/>
      <c r="CH1333" s="21"/>
      <c r="CI1333" s="21"/>
      <c r="CJ1333" s="21"/>
    </row>
    <row r="1334" spans="60:88" x14ac:dyDescent="0.25">
      <c r="BH1334" s="21"/>
      <c r="BI1334" s="21"/>
      <c r="BJ1334" s="21"/>
      <c r="BK1334" s="21"/>
      <c r="BL1334" s="21"/>
      <c r="BM1334" s="21"/>
      <c r="BN1334" s="21"/>
      <c r="BO1334" s="21"/>
      <c r="BQ1334" s="21"/>
      <c r="BR1334" s="21"/>
      <c r="BS1334" s="21"/>
      <c r="BU1334" s="21"/>
      <c r="BX1334" s="21"/>
      <c r="CG1334" s="21"/>
      <c r="CH1334" s="21"/>
      <c r="CI1334" s="21"/>
      <c r="CJ1334" s="21"/>
    </row>
    <row r="1335" spans="60:88" x14ac:dyDescent="0.25">
      <c r="BH1335" s="21"/>
      <c r="BI1335" s="21"/>
      <c r="BJ1335" s="21"/>
      <c r="BK1335" s="21"/>
      <c r="BL1335" s="21"/>
      <c r="BM1335" s="21"/>
      <c r="BN1335" s="21"/>
      <c r="BO1335" s="21"/>
      <c r="BQ1335" s="21"/>
      <c r="BR1335" s="21"/>
      <c r="BS1335" s="21"/>
      <c r="BU1335" s="21"/>
      <c r="BX1335" s="21"/>
      <c r="CG1335" s="21"/>
      <c r="CH1335" s="21"/>
      <c r="CI1335" s="21"/>
      <c r="CJ1335" s="21"/>
    </row>
    <row r="1336" spans="60:88" x14ac:dyDescent="0.25">
      <c r="BH1336" s="21"/>
      <c r="BI1336" s="21"/>
      <c r="BJ1336" s="21"/>
      <c r="BK1336" s="21"/>
      <c r="BL1336" s="21"/>
      <c r="BM1336" s="21"/>
      <c r="BN1336" s="21"/>
      <c r="BO1336" s="21"/>
      <c r="BQ1336" s="21"/>
      <c r="BR1336" s="21"/>
      <c r="BS1336" s="21"/>
      <c r="BU1336" s="21"/>
      <c r="BX1336" s="21"/>
      <c r="CG1336" s="21"/>
      <c r="CH1336" s="21"/>
      <c r="CI1336" s="21"/>
      <c r="CJ1336" s="21"/>
    </row>
    <row r="1337" spans="60:88" x14ac:dyDescent="0.25">
      <c r="BH1337" s="21"/>
      <c r="BI1337" s="21"/>
      <c r="BJ1337" s="21"/>
      <c r="BK1337" s="21"/>
      <c r="BL1337" s="21"/>
      <c r="BM1337" s="21"/>
      <c r="BN1337" s="21"/>
      <c r="BO1337" s="21"/>
      <c r="BQ1337" s="21"/>
      <c r="BR1337" s="21"/>
      <c r="BS1337" s="21"/>
      <c r="BU1337" s="21"/>
      <c r="BX1337" s="21"/>
      <c r="CG1337" s="21"/>
      <c r="CH1337" s="21"/>
      <c r="CI1337" s="21"/>
      <c r="CJ1337" s="21"/>
    </row>
    <row r="1338" spans="60:88" x14ac:dyDescent="0.25">
      <c r="BH1338" s="21"/>
      <c r="BI1338" s="21"/>
      <c r="BJ1338" s="21"/>
      <c r="BK1338" s="21"/>
      <c r="BL1338" s="21"/>
      <c r="BM1338" s="21"/>
      <c r="BN1338" s="21"/>
      <c r="BO1338" s="21"/>
      <c r="BQ1338" s="21"/>
      <c r="BR1338" s="21"/>
      <c r="BS1338" s="21"/>
      <c r="BU1338" s="21"/>
      <c r="BX1338" s="21"/>
      <c r="CG1338" s="21"/>
      <c r="CH1338" s="21"/>
      <c r="CI1338" s="21"/>
      <c r="CJ1338" s="21"/>
    </row>
    <row r="1339" spans="60:88" x14ac:dyDescent="0.25">
      <c r="BH1339" s="21"/>
      <c r="BI1339" s="21"/>
      <c r="BJ1339" s="21"/>
      <c r="BK1339" s="21"/>
      <c r="BL1339" s="21"/>
      <c r="BM1339" s="21"/>
      <c r="BN1339" s="21"/>
      <c r="BO1339" s="21"/>
      <c r="BQ1339" s="21"/>
      <c r="BR1339" s="21"/>
      <c r="BS1339" s="21"/>
      <c r="BU1339" s="21"/>
      <c r="BX1339" s="21"/>
      <c r="CG1339" s="21"/>
      <c r="CH1339" s="21"/>
      <c r="CI1339" s="21"/>
      <c r="CJ1339" s="21"/>
    </row>
    <row r="1340" spans="60:88" x14ac:dyDescent="0.25">
      <c r="BH1340" s="21"/>
      <c r="BI1340" s="21"/>
      <c r="BJ1340" s="21"/>
      <c r="BK1340" s="21"/>
      <c r="BL1340" s="21"/>
      <c r="BM1340" s="21"/>
      <c r="BN1340" s="21"/>
      <c r="BO1340" s="21"/>
      <c r="BQ1340" s="21"/>
      <c r="BR1340" s="21"/>
      <c r="BS1340" s="21"/>
      <c r="BU1340" s="21"/>
      <c r="BX1340" s="21"/>
      <c r="CG1340" s="21"/>
      <c r="CH1340" s="21"/>
      <c r="CI1340" s="21"/>
      <c r="CJ1340" s="21"/>
    </row>
    <row r="1341" spans="60:88" x14ac:dyDescent="0.25">
      <c r="BH1341" s="21"/>
      <c r="BI1341" s="21"/>
      <c r="BJ1341" s="21"/>
      <c r="BK1341" s="21"/>
      <c r="BL1341" s="21"/>
      <c r="BM1341" s="21"/>
      <c r="BN1341" s="21"/>
      <c r="BO1341" s="21"/>
      <c r="BQ1341" s="21"/>
      <c r="BR1341" s="21"/>
      <c r="BS1341" s="21"/>
      <c r="BU1341" s="21"/>
      <c r="BX1341" s="21"/>
      <c r="CG1341" s="21"/>
      <c r="CH1341" s="21"/>
      <c r="CI1341" s="21"/>
      <c r="CJ1341" s="21"/>
    </row>
    <row r="1342" spans="60:88" x14ac:dyDescent="0.25">
      <c r="BH1342" s="21"/>
      <c r="BI1342" s="21"/>
      <c r="BJ1342" s="21"/>
      <c r="BK1342" s="21"/>
      <c r="BL1342" s="21"/>
      <c r="BM1342" s="21"/>
      <c r="BN1342" s="21"/>
      <c r="BO1342" s="21"/>
      <c r="BQ1342" s="21"/>
      <c r="BR1342" s="21"/>
      <c r="BS1342" s="21"/>
      <c r="BU1342" s="21"/>
      <c r="BX1342" s="21"/>
      <c r="CG1342" s="21"/>
      <c r="CH1342" s="21"/>
      <c r="CI1342" s="21"/>
      <c r="CJ1342" s="21"/>
    </row>
    <row r="1343" spans="60:88" x14ac:dyDescent="0.25">
      <c r="BH1343" s="21"/>
      <c r="BI1343" s="21"/>
      <c r="BJ1343" s="21"/>
      <c r="BK1343" s="21"/>
      <c r="BL1343" s="21"/>
      <c r="BM1343" s="21"/>
      <c r="BN1343" s="21"/>
      <c r="BO1343" s="21"/>
      <c r="BQ1343" s="21"/>
      <c r="BR1343" s="21"/>
      <c r="BS1343" s="21"/>
      <c r="BU1343" s="21"/>
      <c r="BX1343" s="21"/>
      <c r="CG1343" s="21"/>
      <c r="CH1343" s="21"/>
      <c r="CI1343" s="21"/>
      <c r="CJ1343" s="21"/>
    </row>
    <row r="1344" spans="60:88" x14ac:dyDescent="0.25">
      <c r="BH1344" s="21"/>
      <c r="BI1344" s="21"/>
      <c r="BJ1344" s="21"/>
      <c r="BK1344" s="21"/>
      <c r="BL1344" s="21"/>
      <c r="BM1344" s="21"/>
      <c r="BN1344" s="21"/>
      <c r="BO1344" s="21"/>
      <c r="BQ1344" s="21"/>
      <c r="BR1344" s="21"/>
      <c r="BS1344" s="21"/>
      <c r="BU1344" s="21"/>
      <c r="BX1344" s="21"/>
      <c r="CG1344" s="21"/>
      <c r="CH1344" s="21"/>
      <c r="CI1344" s="21"/>
      <c r="CJ1344" s="21"/>
    </row>
    <row r="1345" spans="60:88" x14ac:dyDescent="0.25">
      <c r="BH1345" s="21"/>
      <c r="BI1345" s="21"/>
      <c r="BJ1345" s="21"/>
      <c r="BK1345" s="21"/>
      <c r="BL1345" s="21"/>
      <c r="BM1345" s="21"/>
      <c r="BN1345" s="21"/>
      <c r="BO1345" s="21"/>
      <c r="BQ1345" s="21"/>
      <c r="BR1345" s="21"/>
      <c r="BS1345" s="21"/>
      <c r="BU1345" s="21"/>
      <c r="BX1345" s="21"/>
      <c r="CG1345" s="21"/>
      <c r="CH1345" s="21"/>
      <c r="CI1345" s="21"/>
      <c r="CJ1345" s="21"/>
    </row>
    <row r="1346" spans="60:88" x14ac:dyDescent="0.25">
      <c r="BH1346" s="21"/>
      <c r="BI1346" s="21"/>
      <c r="BJ1346" s="21"/>
      <c r="BK1346" s="21"/>
      <c r="BL1346" s="21"/>
      <c r="BM1346" s="21"/>
      <c r="BN1346" s="21"/>
      <c r="BO1346" s="21"/>
      <c r="BQ1346" s="21"/>
      <c r="BR1346" s="21"/>
      <c r="BS1346" s="21"/>
      <c r="BU1346" s="21"/>
      <c r="BX1346" s="21"/>
      <c r="CG1346" s="21"/>
      <c r="CH1346" s="21"/>
      <c r="CI1346" s="21"/>
      <c r="CJ1346" s="21"/>
    </row>
    <row r="1347" spans="60:88" x14ac:dyDescent="0.25">
      <c r="BH1347" s="21"/>
      <c r="BI1347" s="21"/>
      <c r="BJ1347" s="21"/>
      <c r="BK1347" s="21"/>
      <c r="BL1347" s="21"/>
      <c r="BM1347" s="21"/>
      <c r="BN1347" s="21"/>
      <c r="BO1347" s="21"/>
      <c r="BQ1347" s="21"/>
      <c r="BR1347" s="21"/>
      <c r="BS1347" s="21"/>
      <c r="BU1347" s="21"/>
      <c r="BX1347" s="21"/>
      <c r="CG1347" s="21"/>
      <c r="CH1347" s="21"/>
      <c r="CI1347" s="21"/>
      <c r="CJ1347" s="21"/>
    </row>
    <row r="1348" spans="60:88" x14ac:dyDescent="0.25">
      <c r="BH1348" s="21"/>
      <c r="BI1348" s="21"/>
      <c r="BJ1348" s="21"/>
      <c r="BK1348" s="21"/>
      <c r="BL1348" s="21"/>
      <c r="BM1348" s="21"/>
      <c r="BN1348" s="21"/>
      <c r="BO1348" s="21"/>
      <c r="BQ1348" s="21"/>
      <c r="BR1348" s="21"/>
      <c r="BS1348" s="21"/>
      <c r="BU1348" s="21"/>
      <c r="BX1348" s="21"/>
      <c r="CG1348" s="21"/>
      <c r="CH1348" s="21"/>
      <c r="CI1348" s="21"/>
      <c r="CJ1348" s="21"/>
    </row>
    <row r="1349" spans="60:88" x14ac:dyDescent="0.25">
      <c r="BH1349" s="21"/>
      <c r="BI1349" s="21"/>
      <c r="BJ1349" s="21"/>
      <c r="BK1349" s="21"/>
      <c r="BL1349" s="21"/>
      <c r="BM1349" s="21"/>
      <c r="BN1349" s="21"/>
      <c r="BO1349" s="21"/>
      <c r="BQ1349" s="21"/>
      <c r="BR1349" s="21"/>
      <c r="BS1349" s="21"/>
      <c r="BU1349" s="21"/>
      <c r="BX1349" s="21"/>
      <c r="CG1349" s="21"/>
      <c r="CH1349" s="21"/>
      <c r="CI1349" s="21"/>
      <c r="CJ1349" s="21"/>
    </row>
    <row r="1350" spans="60:88" x14ac:dyDescent="0.25">
      <c r="BH1350" s="21"/>
      <c r="BI1350" s="21"/>
      <c r="BJ1350" s="21"/>
      <c r="BK1350" s="21"/>
      <c r="BL1350" s="21"/>
      <c r="BM1350" s="21"/>
      <c r="BN1350" s="21"/>
      <c r="BO1350" s="21"/>
      <c r="BQ1350" s="21"/>
      <c r="BR1350" s="21"/>
      <c r="BS1350" s="21"/>
      <c r="BU1350" s="21"/>
      <c r="BX1350" s="21"/>
      <c r="CG1350" s="21"/>
      <c r="CH1350" s="21"/>
      <c r="CI1350" s="21"/>
      <c r="CJ1350" s="21"/>
    </row>
    <row r="1351" spans="60:88" x14ac:dyDescent="0.25">
      <c r="BH1351" s="21"/>
      <c r="BI1351" s="21"/>
      <c r="BJ1351" s="21"/>
      <c r="BK1351" s="21"/>
      <c r="BL1351" s="21"/>
      <c r="BM1351" s="21"/>
      <c r="BN1351" s="21"/>
      <c r="BO1351" s="21"/>
      <c r="BQ1351" s="21"/>
      <c r="BR1351" s="21"/>
      <c r="BS1351" s="21"/>
      <c r="BU1351" s="21"/>
      <c r="BX1351" s="21"/>
      <c r="CG1351" s="21"/>
      <c r="CH1351" s="21"/>
      <c r="CI1351" s="21"/>
      <c r="CJ1351" s="21"/>
    </row>
    <row r="1352" spans="60:88" x14ac:dyDescent="0.25">
      <c r="BH1352" s="21"/>
      <c r="BI1352" s="21"/>
      <c r="BJ1352" s="21"/>
      <c r="BK1352" s="21"/>
      <c r="BL1352" s="21"/>
      <c r="BM1352" s="21"/>
      <c r="BN1352" s="21"/>
      <c r="BO1352" s="21"/>
      <c r="BQ1352" s="21"/>
      <c r="BR1352" s="21"/>
      <c r="BS1352" s="21"/>
      <c r="BU1352" s="21"/>
      <c r="BX1352" s="21"/>
      <c r="CG1352" s="21"/>
      <c r="CH1352" s="21"/>
      <c r="CI1352" s="21"/>
      <c r="CJ1352" s="21"/>
    </row>
    <row r="1353" spans="60:88" x14ac:dyDescent="0.25">
      <c r="BH1353" s="21"/>
      <c r="BI1353" s="21"/>
      <c r="BJ1353" s="21"/>
      <c r="BK1353" s="21"/>
      <c r="BL1353" s="21"/>
      <c r="BM1353" s="21"/>
      <c r="BN1353" s="21"/>
      <c r="BO1353" s="21"/>
      <c r="BQ1353" s="21"/>
      <c r="BR1353" s="21"/>
      <c r="BS1353" s="21"/>
      <c r="BU1353" s="21"/>
      <c r="BX1353" s="21"/>
      <c r="CG1353" s="21"/>
      <c r="CH1353" s="21"/>
      <c r="CI1353" s="21"/>
      <c r="CJ1353" s="21"/>
    </row>
    <row r="1354" spans="60:88" x14ac:dyDescent="0.25">
      <c r="BH1354" s="21"/>
      <c r="BI1354" s="21"/>
      <c r="BJ1354" s="21"/>
      <c r="BK1354" s="21"/>
      <c r="BL1354" s="21"/>
      <c r="BM1354" s="21"/>
      <c r="BN1354" s="21"/>
      <c r="BO1354" s="21"/>
      <c r="BQ1354" s="21"/>
      <c r="BR1354" s="21"/>
      <c r="BS1354" s="21"/>
      <c r="BU1354" s="21"/>
      <c r="BX1354" s="21"/>
      <c r="CG1354" s="21"/>
      <c r="CH1354" s="21"/>
      <c r="CI1354" s="21"/>
      <c r="CJ1354" s="21"/>
    </row>
    <row r="1355" spans="60:88" x14ac:dyDescent="0.25">
      <c r="BH1355" s="21"/>
      <c r="BI1355" s="21"/>
      <c r="BJ1355" s="21"/>
      <c r="BK1355" s="21"/>
      <c r="BL1355" s="21"/>
      <c r="BM1355" s="21"/>
      <c r="BN1355" s="21"/>
      <c r="BO1355" s="21"/>
      <c r="BQ1355" s="21"/>
      <c r="BR1355" s="21"/>
      <c r="BS1355" s="21"/>
      <c r="BU1355" s="21"/>
      <c r="BX1355" s="21"/>
      <c r="CG1355" s="21"/>
      <c r="CH1355" s="21"/>
      <c r="CI1355" s="21"/>
      <c r="CJ1355" s="21"/>
    </row>
    <row r="1356" spans="60:88" x14ac:dyDescent="0.25">
      <c r="BH1356" s="21"/>
      <c r="BI1356" s="21"/>
      <c r="BJ1356" s="21"/>
      <c r="BK1356" s="21"/>
      <c r="BL1356" s="21"/>
      <c r="BM1356" s="21"/>
      <c r="BN1356" s="21"/>
      <c r="BO1356" s="21"/>
      <c r="BQ1356" s="21"/>
      <c r="BR1356" s="21"/>
      <c r="BS1356" s="21"/>
      <c r="BU1356" s="21"/>
      <c r="BX1356" s="21"/>
      <c r="CG1356" s="21"/>
      <c r="CH1356" s="21"/>
      <c r="CI1356" s="21"/>
      <c r="CJ1356" s="21"/>
    </row>
    <row r="1357" spans="60:88" x14ac:dyDescent="0.25">
      <c r="BH1357" s="21"/>
      <c r="BI1357" s="21"/>
      <c r="BJ1357" s="21"/>
      <c r="BK1357" s="21"/>
      <c r="BL1357" s="21"/>
      <c r="BM1357" s="21"/>
      <c r="BN1357" s="21"/>
      <c r="BO1357" s="21"/>
      <c r="BQ1357" s="21"/>
      <c r="BR1357" s="21"/>
      <c r="BS1357" s="21"/>
      <c r="BU1357" s="21"/>
      <c r="BX1357" s="21"/>
      <c r="CG1357" s="21"/>
      <c r="CH1357" s="21"/>
      <c r="CI1357" s="21"/>
      <c r="CJ1357" s="21"/>
    </row>
    <row r="1358" spans="60:88" x14ac:dyDescent="0.25">
      <c r="BH1358" s="21"/>
      <c r="BI1358" s="21"/>
      <c r="BJ1358" s="21"/>
      <c r="BK1358" s="21"/>
      <c r="BL1358" s="21"/>
      <c r="BM1358" s="21"/>
      <c r="BN1358" s="21"/>
      <c r="BO1358" s="21"/>
      <c r="BQ1358" s="21"/>
      <c r="BR1358" s="21"/>
      <c r="BS1358" s="21"/>
      <c r="BU1358" s="21"/>
      <c r="BX1358" s="21"/>
      <c r="CG1358" s="21"/>
      <c r="CH1358" s="21"/>
      <c r="CI1358" s="21"/>
      <c r="CJ1358" s="21"/>
    </row>
    <row r="1359" spans="60:88" x14ac:dyDescent="0.25">
      <c r="BH1359" s="21"/>
      <c r="BI1359" s="21"/>
      <c r="BJ1359" s="21"/>
      <c r="BK1359" s="21"/>
      <c r="BL1359" s="21"/>
      <c r="BM1359" s="21"/>
      <c r="BN1359" s="21"/>
      <c r="BO1359" s="21"/>
      <c r="BQ1359" s="21"/>
      <c r="BR1359" s="21"/>
      <c r="BS1359" s="21"/>
      <c r="BU1359" s="21"/>
      <c r="BX1359" s="21"/>
      <c r="CG1359" s="21"/>
      <c r="CH1359" s="21"/>
      <c r="CI1359" s="21"/>
      <c r="CJ1359" s="21"/>
    </row>
    <row r="1360" spans="60:88" x14ac:dyDescent="0.25">
      <c r="BH1360" s="21"/>
      <c r="BI1360" s="21"/>
      <c r="BJ1360" s="21"/>
      <c r="BK1360" s="21"/>
      <c r="BL1360" s="21"/>
      <c r="BM1360" s="21"/>
      <c r="BN1360" s="21"/>
      <c r="BO1360" s="21"/>
      <c r="BQ1360" s="21"/>
      <c r="BR1360" s="21"/>
      <c r="BS1360" s="21"/>
      <c r="BU1360" s="21"/>
      <c r="BX1360" s="21"/>
      <c r="CG1360" s="21"/>
      <c r="CH1360" s="21"/>
      <c r="CI1360" s="21"/>
      <c r="CJ1360" s="21"/>
    </row>
    <row r="1361" spans="60:88" x14ac:dyDescent="0.25">
      <c r="BH1361" s="21"/>
      <c r="BI1361" s="21"/>
      <c r="BJ1361" s="21"/>
      <c r="BK1361" s="21"/>
      <c r="BL1361" s="21"/>
      <c r="BM1361" s="21"/>
      <c r="BN1361" s="21"/>
      <c r="BO1361" s="21"/>
      <c r="BQ1361" s="21"/>
      <c r="BR1361" s="21"/>
      <c r="BS1361" s="21"/>
      <c r="BU1361" s="21"/>
      <c r="BX1361" s="21"/>
      <c r="CG1361" s="21"/>
      <c r="CH1361" s="21"/>
      <c r="CI1361" s="21"/>
      <c r="CJ1361" s="21"/>
    </row>
    <row r="1362" spans="60:88" x14ac:dyDescent="0.25">
      <c r="BH1362" s="21"/>
      <c r="BI1362" s="21"/>
      <c r="BJ1362" s="21"/>
      <c r="BK1362" s="21"/>
      <c r="BL1362" s="21"/>
      <c r="BM1362" s="21"/>
      <c r="BN1362" s="21"/>
      <c r="BO1362" s="21"/>
      <c r="BQ1362" s="21"/>
      <c r="BR1362" s="21"/>
      <c r="BS1362" s="21"/>
      <c r="BU1362" s="21"/>
      <c r="BX1362" s="21"/>
      <c r="CG1362" s="21"/>
      <c r="CH1362" s="21"/>
      <c r="CI1362" s="21"/>
      <c r="CJ1362" s="21"/>
    </row>
    <row r="1363" spans="60:88" x14ac:dyDescent="0.25">
      <c r="BH1363" s="21"/>
      <c r="BI1363" s="21"/>
      <c r="BJ1363" s="21"/>
      <c r="BK1363" s="21"/>
      <c r="BL1363" s="21"/>
      <c r="BM1363" s="21"/>
      <c r="BN1363" s="21"/>
      <c r="BO1363" s="21"/>
      <c r="BQ1363" s="21"/>
      <c r="BR1363" s="21"/>
      <c r="BS1363" s="21"/>
      <c r="BU1363" s="21"/>
      <c r="BX1363" s="21"/>
      <c r="CG1363" s="21"/>
      <c r="CH1363" s="21"/>
      <c r="CI1363" s="21"/>
      <c r="CJ1363" s="21"/>
    </row>
    <row r="1364" spans="60:88" x14ac:dyDescent="0.25">
      <c r="BH1364" s="21"/>
      <c r="BI1364" s="21"/>
      <c r="BJ1364" s="21"/>
      <c r="BK1364" s="21"/>
      <c r="BL1364" s="21"/>
      <c r="BM1364" s="21"/>
      <c r="BN1364" s="21"/>
      <c r="BO1364" s="21"/>
      <c r="BQ1364" s="21"/>
      <c r="BR1364" s="21"/>
      <c r="BS1364" s="21"/>
      <c r="BU1364" s="21"/>
      <c r="BX1364" s="21"/>
      <c r="CG1364" s="21"/>
      <c r="CH1364" s="21"/>
      <c r="CI1364" s="21"/>
      <c r="CJ1364" s="21"/>
    </row>
    <row r="1365" spans="60:88" x14ac:dyDescent="0.25">
      <c r="BH1365" s="21"/>
      <c r="BI1365" s="21"/>
      <c r="BJ1365" s="21"/>
      <c r="BK1365" s="21"/>
      <c r="BL1365" s="21"/>
      <c r="BM1365" s="21"/>
      <c r="BN1365" s="21"/>
      <c r="BO1365" s="21"/>
      <c r="BQ1365" s="21"/>
      <c r="BR1365" s="21"/>
      <c r="BS1365" s="21"/>
      <c r="BU1365" s="21"/>
      <c r="BX1365" s="21"/>
      <c r="CG1365" s="21"/>
      <c r="CH1365" s="21"/>
      <c r="CI1365" s="21"/>
      <c r="CJ1365" s="21"/>
    </row>
    <row r="1366" spans="60:88" x14ac:dyDescent="0.25">
      <c r="BH1366" s="21"/>
      <c r="BI1366" s="21"/>
      <c r="BJ1366" s="21"/>
      <c r="BK1366" s="21"/>
      <c r="BL1366" s="21"/>
      <c r="BM1366" s="21"/>
      <c r="BN1366" s="21"/>
      <c r="BO1366" s="21"/>
      <c r="BQ1366" s="21"/>
      <c r="BR1366" s="21"/>
      <c r="BS1366" s="21"/>
      <c r="BU1366" s="21"/>
      <c r="BX1366" s="21"/>
      <c r="CG1366" s="21"/>
      <c r="CH1366" s="21"/>
      <c r="CI1366" s="21"/>
      <c r="CJ1366" s="21"/>
    </row>
    <row r="1367" spans="60:88" x14ac:dyDescent="0.25">
      <c r="BH1367" s="21"/>
      <c r="BI1367" s="21"/>
      <c r="BJ1367" s="21"/>
      <c r="BK1367" s="21"/>
      <c r="BL1367" s="21"/>
      <c r="BM1367" s="21"/>
      <c r="BN1367" s="21"/>
      <c r="BO1367" s="21"/>
      <c r="BQ1367" s="21"/>
      <c r="BR1367" s="21"/>
      <c r="BS1367" s="21"/>
      <c r="BU1367" s="21"/>
      <c r="BX1367" s="21"/>
      <c r="CG1367" s="21"/>
      <c r="CH1367" s="21"/>
      <c r="CI1367" s="21"/>
      <c r="CJ1367" s="21"/>
    </row>
    <row r="1368" spans="60:88" x14ac:dyDescent="0.25">
      <c r="BH1368" s="21"/>
      <c r="BI1368" s="21"/>
      <c r="BJ1368" s="21"/>
      <c r="BK1368" s="21"/>
      <c r="BL1368" s="21"/>
      <c r="BM1368" s="21"/>
      <c r="BN1368" s="21"/>
      <c r="BO1368" s="21"/>
      <c r="BQ1368" s="21"/>
      <c r="BR1368" s="21"/>
      <c r="BS1368" s="21"/>
      <c r="BU1368" s="21"/>
      <c r="BX1368" s="21"/>
      <c r="CG1368" s="21"/>
      <c r="CH1368" s="21"/>
      <c r="CI1368" s="21"/>
      <c r="CJ1368" s="21"/>
    </row>
    <row r="1369" spans="60:88" x14ac:dyDescent="0.25">
      <c r="BH1369" s="21"/>
      <c r="BI1369" s="21"/>
      <c r="BJ1369" s="21"/>
      <c r="BK1369" s="21"/>
      <c r="BL1369" s="21"/>
      <c r="BM1369" s="21"/>
      <c r="BN1369" s="21"/>
      <c r="BO1369" s="21"/>
      <c r="BQ1369" s="21"/>
      <c r="BR1369" s="21"/>
      <c r="BS1369" s="21"/>
      <c r="BU1369" s="21"/>
      <c r="BX1369" s="21"/>
      <c r="CG1369" s="21"/>
      <c r="CH1369" s="21"/>
      <c r="CI1369" s="21"/>
      <c r="CJ1369" s="21"/>
    </row>
    <row r="1370" spans="60:88" x14ac:dyDescent="0.25">
      <c r="BH1370" s="21"/>
      <c r="BI1370" s="21"/>
      <c r="BJ1370" s="21"/>
      <c r="BK1370" s="21"/>
      <c r="BL1370" s="21"/>
      <c r="BM1370" s="21"/>
      <c r="BN1370" s="21"/>
      <c r="BO1370" s="21"/>
      <c r="BQ1370" s="21"/>
      <c r="BR1370" s="21"/>
      <c r="BS1370" s="21"/>
      <c r="BU1370" s="21"/>
      <c r="BX1370" s="21"/>
      <c r="CG1370" s="21"/>
      <c r="CH1370" s="21"/>
      <c r="CI1370" s="21"/>
      <c r="CJ1370" s="21"/>
    </row>
    <row r="1371" spans="60:88" x14ac:dyDescent="0.25">
      <c r="BH1371" s="21"/>
      <c r="BI1371" s="21"/>
      <c r="BJ1371" s="21"/>
      <c r="BK1371" s="21"/>
      <c r="BL1371" s="21"/>
      <c r="BM1371" s="21"/>
      <c r="BN1371" s="21"/>
      <c r="BO1371" s="21"/>
      <c r="BQ1371" s="21"/>
      <c r="BR1371" s="21"/>
      <c r="BS1371" s="21"/>
      <c r="BU1371" s="21"/>
      <c r="BX1371" s="21"/>
      <c r="CG1371" s="21"/>
      <c r="CH1371" s="21"/>
      <c r="CI1371" s="21"/>
      <c r="CJ1371" s="21"/>
    </row>
    <row r="1372" spans="60:88" x14ac:dyDescent="0.25">
      <c r="BH1372" s="21"/>
      <c r="BI1372" s="21"/>
      <c r="BJ1372" s="21"/>
      <c r="BK1372" s="21"/>
      <c r="BL1372" s="21"/>
      <c r="BM1372" s="21"/>
      <c r="BN1372" s="21"/>
      <c r="BO1372" s="21"/>
      <c r="BQ1372" s="21"/>
      <c r="BR1372" s="21"/>
      <c r="BS1372" s="21"/>
      <c r="BU1372" s="21"/>
      <c r="BX1372" s="21"/>
      <c r="CG1372" s="21"/>
      <c r="CH1372" s="21"/>
      <c r="CI1372" s="21"/>
      <c r="CJ1372" s="21"/>
    </row>
    <row r="1373" spans="60:88" x14ac:dyDescent="0.25">
      <c r="BH1373" s="21"/>
      <c r="BI1373" s="21"/>
      <c r="BJ1373" s="21"/>
      <c r="BK1373" s="21"/>
      <c r="BL1373" s="21"/>
      <c r="BM1373" s="21"/>
      <c r="BN1373" s="21"/>
      <c r="BO1373" s="21"/>
      <c r="BQ1373" s="21"/>
      <c r="BR1373" s="21"/>
      <c r="BS1373" s="21"/>
      <c r="BU1373" s="21"/>
      <c r="BX1373" s="21"/>
      <c r="CG1373" s="21"/>
      <c r="CH1373" s="21"/>
      <c r="CI1373" s="21"/>
      <c r="CJ1373" s="21"/>
    </row>
    <row r="1374" spans="60:88" x14ac:dyDescent="0.25">
      <c r="BH1374" s="21"/>
      <c r="BI1374" s="21"/>
      <c r="BJ1374" s="21"/>
      <c r="BK1374" s="21"/>
      <c r="BL1374" s="21"/>
      <c r="BM1374" s="21"/>
      <c r="BN1374" s="21"/>
      <c r="BO1374" s="21"/>
      <c r="BQ1374" s="21"/>
      <c r="BR1374" s="21"/>
      <c r="BS1374" s="21"/>
      <c r="BU1374" s="21"/>
      <c r="BX1374" s="21"/>
      <c r="CG1374" s="21"/>
      <c r="CH1374" s="21"/>
      <c r="CI1374" s="21"/>
      <c r="CJ1374" s="21"/>
    </row>
    <row r="1375" spans="60:88" x14ac:dyDescent="0.25">
      <c r="BH1375" s="21"/>
      <c r="BI1375" s="21"/>
      <c r="BJ1375" s="21"/>
      <c r="BK1375" s="21"/>
      <c r="BL1375" s="21"/>
      <c r="BM1375" s="21"/>
      <c r="BN1375" s="21"/>
      <c r="BO1375" s="21"/>
      <c r="BQ1375" s="21"/>
      <c r="BR1375" s="21"/>
      <c r="BS1375" s="21"/>
      <c r="BU1375" s="21"/>
      <c r="BX1375" s="21"/>
      <c r="CG1375" s="21"/>
      <c r="CH1375" s="21"/>
      <c r="CI1375" s="21"/>
      <c r="CJ1375" s="21"/>
    </row>
    <row r="1376" spans="60:88" x14ac:dyDescent="0.25">
      <c r="BH1376" s="21"/>
      <c r="BI1376" s="21"/>
      <c r="BJ1376" s="21"/>
      <c r="BK1376" s="21"/>
      <c r="BL1376" s="21"/>
      <c r="BM1376" s="21"/>
      <c r="BN1376" s="21"/>
      <c r="BO1376" s="21"/>
      <c r="BQ1376" s="21"/>
      <c r="BR1376" s="21"/>
      <c r="BS1376" s="21"/>
      <c r="BU1376" s="21"/>
      <c r="BX1376" s="21"/>
      <c r="CG1376" s="21"/>
      <c r="CH1376" s="21"/>
      <c r="CI1376" s="21"/>
      <c r="CJ1376" s="21"/>
    </row>
    <row r="1377" spans="60:88" x14ac:dyDescent="0.25">
      <c r="BH1377" s="21"/>
      <c r="BI1377" s="21"/>
      <c r="BJ1377" s="21"/>
      <c r="BK1377" s="21"/>
      <c r="BL1377" s="21"/>
      <c r="BM1377" s="21"/>
      <c r="BN1377" s="21"/>
      <c r="BO1377" s="21"/>
      <c r="BQ1377" s="21"/>
      <c r="BR1377" s="21"/>
      <c r="BS1377" s="21"/>
      <c r="BU1377" s="21"/>
      <c r="BX1377" s="21"/>
      <c r="CG1377" s="21"/>
      <c r="CH1377" s="21"/>
      <c r="CI1377" s="21"/>
      <c r="CJ1377" s="21"/>
    </row>
    <row r="1378" spans="60:88" x14ac:dyDescent="0.25">
      <c r="BH1378" s="21"/>
      <c r="BI1378" s="21"/>
      <c r="BJ1378" s="21"/>
      <c r="BK1378" s="21"/>
      <c r="BL1378" s="21"/>
      <c r="BM1378" s="21"/>
      <c r="BN1378" s="21"/>
      <c r="BO1378" s="21"/>
      <c r="BQ1378" s="21"/>
      <c r="BR1378" s="21"/>
      <c r="BS1378" s="21"/>
      <c r="BU1378" s="21"/>
      <c r="BX1378" s="21"/>
      <c r="CG1378" s="21"/>
      <c r="CH1378" s="21"/>
      <c r="CI1378" s="21"/>
      <c r="CJ1378" s="21"/>
    </row>
    <row r="1379" spans="60:88" x14ac:dyDescent="0.25">
      <c r="BH1379" s="21"/>
      <c r="BI1379" s="21"/>
      <c r="BJ1379" s="21"/>
      <c r="BK1379" s="21"/>
      <c r="BL1379" s="21"/>
      <c r="BM1379" s="21"/>
      <c r="BN1379" s="21"/>
      <c r="BO1379" s="21"/>
      <c r="BQ1379" s="21"/>
      <c r="BR1379" s="21"/>
      <c r="BS1379" s="21"/>
      <c r="BU1379" s="21"/>
      <c r="BX1379" s="21"/>
      <c r="CG1379" s="21"/>
      <c r="CH1379" s="21"/>
      <c r="CI1379" s="21"/>
      <c r="CJ1379" s="21"/>
    </row>
    <row r="1380" spans="60:88" x14ac:dyDescent="0.25">
      <c r="BH1380" s="21"/>
      <c r="BI1380" s="21"/>
      <c r="BJ1380" s="21"/>
      <c r="BK1380" s="21"/>
      <c r="BL1380" s="21"/>
      <c r="BM1380" s="21"/>
      <c r="BN1380" s="21"/>
      <c r="BO1380" s="21"/>
      <c r="BQ1380" s="21"/>
      <c r="BR1380" s="21"/>
      <c r="BS1380" s="21"/>
      <c r="BU1380" s="21"/>
      <c r="BX1380" s="21"/>
      <c r="CG1380" s="21"/>
      <c r="CH1380" s="21"/>
      <c r="CI1380" s="21"/>
      <c r="CJ1380" s="21"/>
    </row>
    <row r="1381" spans="60:88" x14ac:dyDescent="0.25">
      <c r="BH1381" s="21"/>
      <c r="BI1381" s="21"/>
      <c r="BJ1381" s="21"/>
      <c r="BK1381" s="21"/>
      <c r="BL1381" s="21"/>
      <c r="BM1381" s="21"/>
      <c r="BN1381" s="21"/>
      <c r="BO1381" s="21"/>
      <c r="BQ1381" s="21"/>
      <c r="BR1381" s="21"/>
      <c r="BS1381" s="21"/>
      <c r="BU1381" s="21"/>
      <c r="BX1381" s="21"/>
      <c r="CG1381" s="21"/>
      <c r="CH1381" s="21"/>
      <c r="CI1381" s="21"/>
      <c r="CJ1381" s="21"/>
    </row>
    <row r="1382" spans="60:88" x14ac:dyDescent="0.25">
      <c r="BH1382" s="21"/>
      <c r="BI1382" s="21"/>
      <c r="BJ1382" s="21"/>
      <c r="BK1382" s="21"/>
      <c r="BL1382" s="21"/>
      <c r="BM1382" s="21"/>
      <c r="BN1382" s="21"/>
      <c r="BO1382" s="21"/>
      <c r="BQ1382" s="21"/>
      <c r="BR1382" s="21"/>
      <c r="BS1382" s="21"/>
      <c r="BU1382" s="21"/>
      <c r="BX1382" s="21"/>
      <c r="CG1382" s="21"/>
      <c r="CH1382" s="21"/>
      <c r="CI1382" s="21"/>
      <c r="CJ1382" s="21"/>
    </row>
    <row r="1383" spans="60:88" x14ac:dyDescent="0.25">
      <c r="BH1383" s="21"/>
      <c r="BI1383" s="21"/>
      <c r="BJ1383" s="21"/>
      <c r="BK1383" s="21"/>
      <c r="BL1383" s="21"/>
      <c r="BM1383" s="21"/>
      <c r="BN1383" s="21"/>
      <c r="BO1383" s="21"/>
      <c r="BQ1383" s="21"/>
      <c r="BR1383" s="21"/>
      <c r="BS1383" s="21"/>
      <c r="BU1383" s="21"/>
      <c r="BX1383" s="21"/>
      <c r="CG1383" s="21"/>
      <c r="CH1383" s="21"/>
      <c r="CI1383" s="21"/>
      <c r="CJ1383" s="21"/>
    </row>
    <row r="1384" spans="60:88" x14ac:dyDescent="0.25">
      <c r="BH1384" s="21"/>
      <c r="BI1384" s="21"/>
      <c r="BJ1384" s="21"/>
      <c r="BK1384" s="21"/>
      <c r="BL1384" s="21"/>
      <c r="BM1384" s="21"/>
      <c r="BN1384" s="21"/>
      <c r="BO1384" s="21"/>
      <c r="BQ1384" s="21"/>
      <c r="BR1384" s="21"/>
      <c r="BS1384" s="21"/>
      <c r="BU1384" s="21"/>
      <c r="BX1384" s="21"/>
      <c r="CG1384" s="21"/>
      <c r="CH1384" s="21"/>
      <c r="CI1384" s="21"/>
      <c r="CJ1384" s="21"/>
    </row>
    <row r="1385" spans="60:88" x14ac:dyDescent="0.25">
      <c r="BH1385" s="21"/>
      <c r="BI1385" s="21"/>
      <c r="BJ1385" s="21"/>
      <c r="BK1385" s="21"/>
      <c r="BL1385" s="21"/>
      <c r="BM1385" s="21"/>
      <c r="BN1385" s="21"/>
      <c r="BO1385" s="21"/>
      <c r="BQ1385" s="21"/>
      <c r="BR1385" s="21"/>
      <c r="BS1385" s="21"/>
      <c r="BU1385" s="21"/>
      <c r="BX1385" s="21"/>
      <c r="CG1385" s="21"/>
      <c r="CH1385" s="21"/>
      <c r="CI1385" s="21"/>
      <c r="CJ1385" s="21"/>
    </row>
    <row r="1386" spans="60:88" x14ac:dyDescent="0.25">
      <c r="BH1386" s="21"/>
      <c r="BI1386" s="21"/>
      <c r="BJ1386" s="21"/>
      <c r="BK1386" s="21"/>
      <c r="BL1386" s="21"/>
      <c r="BM1386" s="21"/>
      <c r="BN1386" s="21"/>
      <c r="BO1386" s="21"/>
      <c r="BQ1386" s="21"/>
      <c r="BR1386" s="21"/>
      <c r="BS1386" s="21"/>
      <c r="BU1386" s="21"/>
      <c r="BX1386" s="21"/>
      <c r="CG1386" s="21"/>
      <c r="CH1386" s="21"/>
      <c r="CI1386" s="21"/>
      <c r="CJ1386" s="21"/>
    </row>
    <row r="1387" spans="60:88" x14ac:dyDescent="0.25">
      <c r="BH1387" s="21"/>
      <c r="BI1387" s="21"/>
      <c r="BJ1387" s="21"/>
      <c r="BK1387" s="21"/>
      <c r="BL1387" s="21"/>
      <c r="BM1387" s="21"/>
      <c r="BN1387" s="21"/>
      <c r="BO1387" s="21"/>
      <c r="BQ1387" s="21"/>
      <c r="BR1387" s="21"/>
      <c r="BS1387" s="21"/>
      <c r="BU1387" s="21"/>
      <c r="BX1387" s="21"/>
      <c r="CG1387" s="21"/>
      <c r="CH1387" s="21"/>
      <c r="CI1387" s="21"/>
      <c r="CJ1387" s="21"/>
    </row>
    <row r="1388" spans="60:88" x14ac:dyDescent="0.25">
      <c r="BH1388" s="21"/>
      <c r="BI1388" s="21"/>
      <c r="BJ1388" s="21"/>
      <c r="BK1388" s="21"/>
      <c r="BL1388" s="21"/>
      <c r="BM1388" s="21"/>
      <c r="BN1388" s="21"/>
      <c r="BO1388" s="21"/>
      <c r="BQ1388" s="21"/>
      <c r="BR1388" s="21"/>
      <c r="BS1388" s="21"/>
      <c r="BU1388" s="21"/>
      <c r="BX1388" s="21"/>
      <c r="CG1388" s="21"/>
      <c r="CH1388" s="21"/>
      <c r="CI1388" s="21"/>
      <c r="CJ1388" s="21"/>
    </row>
    <row r="1389" spans="60:88" x14ac:dyDescent="0.25">
      <c r="BH1389" s="21"/>
      <c r="BI1389" s="21"/>
      <c r="BJ1389" s="21"/>
      <c r="BK1389" s="21"/>
      <c r="BL1389" s="21"/>
      <c r="BM1389" s="21"/>
      <c r="BN1389" s="21"/>
      <c r="BO1389" s="21"/>
      <c r="BQ1389" s="21"/>
      <c r="BR1389" s="21"/>
      <c r="BS1389" s="21"/>
      <c r="BU1389" s="21"/>
      <c r="BX1389" s="21"/>
      <c r="CG1389" s="21"/>
      <c r="CH1389" s="21"/>
      <c r="CI1389" s="21"/>
      <c r="CJ1389" s="21"/>
    </row>
    <row r="1390" spans="60:88" x14ac:dyDescent="0.25">
      <c r="BH1390" s="21"/>
      <c r="BI1390" s="21"/>
      <c r="BJ1390" s="21"/>
      <c r="BK1390" s="21"/>
      <c r="BL1390" s="21"/>
      <c r="BM1390" s="21"/>
      <c r="BN1390" s="21"/>
      <c r="BO1390" s="21"/>
      <c r="BQ1390" s="21"/>
      <c r="BR1390" s="21"/>
      <c r="BS1390" s="21"/>
      <c r="BU1390" s="21"/>
      <c r="BX1390" s="21"/>
      <c r="CG1390" s="21"/>
      <c r="CH1390" s="21"/>
      <c r="CI1390" s="21"/>
      <c r="CJ1390" s="21"/>
    </row>
    <row r="1391" spans="60:88" x14ac:dyDescent="0.25">
      <c r="BH1391" s="21"/>
      <c r="BI1391" s="21"/>
      <c r="BJ1391" s="21"/>
      <c r="BK1391" s="21"/>
      <c r="BL1391" s="21"/>
      <c r="BM1391" s="21"/>
      <c r="BN1391" s="21"/>
      <c r="BO1391" s="21"/>
      <c r="BQ1391" s="21"/>
      <c r="BR1391" s="21"/>
      <c r="BS1391" s="21"/>
      <c r="BU1391" s="21"/>
      <c r="BX1391" s="21"/>
      <c r="CG1391" s="21"/>
      <c r="CH1391" s="21"/>
      <c r="CI1391" s="21"/>
      <c r="CJ1391" s="21"/>
    </row>
    <row r="1392" spans="60:88" x14ac:dyDescent="0.25">
      <c r="BH1392" s="21"/>
      <c r="BI1392" s="21"/>
      <c r="BJ1392" s="21"/>
      <c r="BK1392" s="21"/>
      <c r="BL1392" s="21"/>
      <c r="BM1392" s="21"/>
      <c r="BN1392" s="21"/>
      <c r="BO1392" s="21"/>
      <c r="BQ1392" s="21"/>
      <c r="BR1392" s="21"/>
      <c r="BS1392" s="21"/>
      <c r="BU1392" s="21"/>
      <c r="BX1392" s="21"/>
      <c r="CG1392" s="21"/>
      <c r="CH1392" s="21"/>
      <c r="CI1392" s="21"/>
      <c r="CJ1392" s="21"/>
    </row>
    <row r="1393" spans="60:88" x14ac:dyDescent="0.25">
      <c r="BH1393" s="21"/>
      <c r="BI1393" s="21"/>
      <c r="BJ1393" s="21"/>
      <c r="BK1393" s="21"/>
      <c r="BL1393" s="21"/>
      <c r="BM1393" s="21"/>
      <c r="BN1393" s="21"/>
      <c r="BO1393" s="21"/>
      <c r="BQ1393" s="21"/>
      <c r="BR1393" s="21"/>
      <c r="BS1393" s="21"/>
      <c r="BU1393" s="21"/>
      <c r="BX1393" s="21"/>
      <c r="CG1393" s="21"/>
      <c r="CH1393" s="21"/>
      <c r="CI1393" s="21"/>
      <c r="CJ1393" s="21"/>
    </row>
    <row r="1394" spans="60:88" x14ac:dyDescent="0.25">
      <c r="BH1394" s="21"/>
      <c r="BI1394" s="21"/>
      <c r="BJ1394" s="21"/>
      <c r="BK1394" s="21"/>
      <c r="BL1394" s="21"/>
      <c r="BM1394" s="21"/>
      <c r="BN1394" s="21"/>
      <c r="BO1394" s="21"/>
      <c r="BQ1394" s="21"/>
      <c r="BR1394" s="21"/>
      <c r="BS1394" s="21"/>
      <c r="BU1394" s="21"/>
      <c r="BX1394" s="21"/>
      <c r="CG1394" s="21"/>
      <c r="CH1394" s="21"/>
      <c r="CI1394" s="21"/>
      <c r="CJ1394" s="21"/>
    </row>
    <row r="1395" spans="60:88" x14ac:dyDescent="0.25">
      <c r="BH1395" s="21"/>
      <c r="BI1395" s="21"/>
      <c r="BJ1395" s="21"/>
      <c r="BK1395" s="21"/>
      <c r="BL1395" s="21"/>
      <c r="BM1395" s="21"/>
      <c r="BN1395" s="21"/>
      <c r="BO1395" s="21"/>
      <c r="BQ1395" s="21"/>
      <c r="BR1395" s="21"/>
      <c r="BS1395" s="21"/>
      <c r="BU1395" s="21"/>
      <c r="BX1395" s="21"/>
      <c r="CG1395" s="21"/>
      <c r="CH1395" s="21"/>
      <c r="CI1395" s="21"/>
      <c r="CJ1395" s="21"/>
    </row>
    <row r="1396" spans="60:88" x14ac:dyDescent="0.25">
      <c r="BH1396" s="21"/>
      <c r="BI1396" s="21"/>
      <c r="BJ1396" s="21"/>
      <c r="BK1396" s="21"/>
      <c r="BL1396" s="21"/>
      <c r="BM1396" s="21"/>
      <c r="BN1396" s="21"/>
      <c r="BO1396" s="21"/>
      <c r="BQ1396" s="21"/>
      <c r="BR1396" s="21"/>
      <c r="BS1396" s="21"/>
      <c r="BU1396" s="21"/>
      <c r="BX1396" s="21"/>
      <c r="CG1396" s="21"/>
      <c r="CH1396" s="21"/>
      <c r="CI1396" s="21"/>
      <c r="CJ1396" s="21"/>
    </row>
    <row r="1397" spans="60:88" x14ac:dyDescent="0.25">
      <c r="BH1397" s="21"/>
      <c r="BI1397" s="21"/>
      <c r="BJ1397" s="21"/>
      <c r="BK1397" s="21"/>
      <c r="BL1397" s="21"/>
      <c r="BM1397" s="21"/>
      <c r="BN1397" s="21"/>
      <c r="BO1397" s="21"/>
      <c r="BQ1397" s="21"/>
      <c r="BR1397" s="21"/>
      <c r="BS1397" s="21"/>
      <c r="BU1397" s="21"/>
      <c r="BX1397" s="21"/>
      <c r="CG1397" s="21"/>
      <c r="CH1397" s="21"/>
      <c r="CI1397" s="21"/>
      <c r="CJ1397" s="21"/>
    </row>
    <row r="1398" spans="60:88" x14ac:dyDescent="0.25">
      <c r="BH1398" s="21"/>
      <c r="BI1398" s="21"/>
      <c r="BJ1398" s="21"/>
      <c r="BK1398" s="21"/>
      <c r="BL1398" s="21"/>
      <c r="BM1398" s="21"/>
      <c r="BN1398" s="21"/>
      <c r="BO1398" s="21"/>
      <c r="BQ1398" s="21"/>
      <c r="BR1398" s="21"/>
      <c r="BS1398" s="21"/>
      <c r="BU1398" s="21"/>
      <c r="BX1398" s="21"/>
      <c r="CG1398" s="21"/>
      <c r="CH1398" s="21"/>
      <c r="CI1398" s="21"/>
      <c r="CJ1398" s="21"/>
    </row>
    <row r="1399" spans="60:88" x14ac:dyDescent="0.25">
      <c r="BH1399" s="21"/>
      <c r="BI1399" s="21"/>
      <c r="BJ1399" s="21"/>
      <c r="BK1399" s="21"/>
      <c r="BL1399" s="21"/>
      <c r="BM1399" s="21"/>
      <c r="BN1399" s="21"/>
      <c r="BO1399" s="21"/>
      <c r="BQ1399" s="21"/>
      <c r="BR1399" s="21"/>
      <c r="BS1399" s="21"/>
      <c r="BU1399" s="21"/>
      <c r="BX1399" s="21"/>
      <c r="CG1399" s="21"/>
      <c r="CH1399" s="21"/>
      <c r="CI1399" s="21"/>
      <c r="CJ1399" s="21"/>
    </row>
    <row r="1400" spans="60:88" x14ac:dyDescent="0.25">
      <c r="BH1400" s="21"/>
      <c r="BI1400" s="21"/>
      <c r="BJ1400" s="21"/>
      <c r="BK1400" s="21"/>
      <c r="BL1400" s="21"/>
      <c r="BM1400" s="21"/>
      <c r="BN1400" s="21"/>
      <c r="BO1400" s="21"/>
      <c r="BQ1400" s="21"/>
      <c r="BR1400" s="21"/>
      <c r="BS1400" s="21"/>
      <c r="BU1400" s="21"/>
      <c r="BX1400" s="21"/>
      <c r="CG1400" s="21"/>
      <c r="CH1400" s="21"/>
      <c r="CI1400" s="21"/>
      <c r="CJ1400" s="21"/>
    </row>
    <row r="1401" spans="60:88" x14ac:dyDescent="0.25">
      <c r="BH1401" s="21"/>
      <c r="BI1401" s="21"/>
      <c r="BJ1401" s="21"/>
      <c r="BK1401" s="21"/>
      <c r="BL1401" s="21"/>
      <c r="BM1401" s="21"/>
      <c r="BN1401" s="21"/>
      <c r="BO1401" s="21"/>
      <c r="BQ1401" s="21"/>
      <c r="BR1401" s="21"/>
      <c r="BS1401" s="21"/>
      <c r="BU1401" s="21"/>
      <c r="BX1401" s="21"/>
      <c r="CG1401" s="21"/>
      <c r="CH1401" s="21"/>
      <c r="CI1401" s="21"/>
      <c r="CJ1401" s="21"/>
    </row>
    <row r="1402" spans="60:88" x14ac:dyDescent="0.25">
      <c r="BH1402" s="21"/>
      <c r="BI1402" s="21"/>
      <c r="BJ1402" s="21"/>
      <c r="BK1402" s="21"/>
      <c r="BL1402" s="21"/>
      <c r="BM1402" s="21"/>
      <c r="BN1402" s="21"/>
      <c r="BO1402" s="21"/>
      <c r="BQ1402" s="21"/>
      <c r="BR1402" s="21"/>
      <c r="BS1402" s="21"/>
      <c r="BU1402" s="21"/>
      <c r="BX1402" s="21"/>
      <c r="CG1402" s="21"/>
      <c r="CH1402" s="21"/>
      <c r="CI1402" s="21"/>
      <c r="CJ1402" s="21"/>
    </row>
    <row r="1403" spans="60:88" x14ac:dyDescent="0.25">
      <c r="BH1403" s="21"/>
      <c r="BI1403" s="21"/>
      <c r="BJ1403" s="21"/>
      <c r="BK1403" s="21"/>
      <c r="BL1403" s="21"/>
      <c r="BM1403" s="21"/>
      <c r="BN1403" s="21"/>
      <c r="BO1403" s="21"/>
      <c r="BQ1403" s="21"/>
      <c r="BR1403" s="21"/>
      <c r="BS1403" s="21"/>
      <c r="BU1403" s="21"/>
      <c r="BX1403" s="21"/>
      <c r="CG1403" s="21"/>
      <c r="CH1403" s="21"/>
      <c r="CI1403" s="21"/>
      <c r="CJ1403" s="21"/>
    </row>
    <row r="1404" spans="60:88" x14ac:dyDescent="0.25">
      <c r="BH1404" s="21"/>
      <c r="BI1404" s="21"/>
      <c r="BJ1404" s="21"/>
      <c r="BK1404" s="21"/>
      <c r="BL1404" s="21"/>
      <c r="BM1404" s="21"/>
      <c r="BN1404" s="21"/>
      <c r="BO1404" s="21"/>
      <c r="BQ1404" s="21"/>
      <c r="BR1404" s="21"/>
      <c r="BS1404" s="21"/>
      <c r="BU1404" s="21"/>
      <c r="BX1404" s="21"/>
      <c r="CG1404" s="21"/>
      <c r="CH1404" s="21"/>
      <c r="CI1404" s="21"/>
      <c r="CJ1404" s="21"/>
    </row>
    <row r="1405" spans="60:88" x14ac:dyDescent="0.25">
      <c r="BH1405" s="21"/>
      <c r="BI1405" s="21"/>
      <c r="BJ1405" s="21"/>
      <c r="BK1405" s="21"/>
      <c r="BL1405" s="21"/>
      <c r="BM1405" s="21"/>
      <c r="BN1405" s="21"/>
      <c r="BO1405" s="21"/>
      <c r="BQ1405" s="21"/>
      <c r="BR1405" s="21"/>
      <c r="BS1405" s="21"/>
      <c r="BU1405" s="21"/>
      <c r="BX1405" s="21"/>
      <c r="CG1405" s="21"/>
      <c r="CH1405" s="21"/>
      <c r="CI1405" s="21"/>
      <c r="CJ1405" s="21"/>
    </row>
    <row r="1406" spans="60:88" x14ac:dyDescent="0.25">
      <c r="BH1406" s="21"/>
      <c r="BI1406" s="21"/>
      <c r="BJ1406" s="21"/>
      <c r="BK1406" s="21"/>
      <c r="BL1406" s="21"/>
      <c r="BM1406" s="21"/>
      <c r="BN1406" s="21"/>
      <c r="BO1406" s="21"/>
      <c r="BQ1406" s="21"/>
      <c r="BR1406" s="21"/>
      <c r="BS1406" s="21"/>
      <c r="BU1406" s="21"/>
      <c r="BX1406" s="21"/>
      <c r="CG1406" s="21"/>
      <c r="CH1406" s="21"/>
      <c r="CI1406" s="21"/>
      <c r="CJ1406" s="21"/>
    </row>
    <row r="1407" spans="60:88" x14ac:dyDescent="0.25">
      <c r="BH1407" s="21"/>
      <c r="BI1407" s="21"/>
      <c r="BJ1407" s="21"/>
      <c r="BK1407" s="21"/>
      <c r="BL1407" s="21"/>
      <c r="BM1407" s="21"/>
      <c r="BN1407" s="21"/>
      <c r="BO1407" s="21"/>
      <c r="BQ1407" s="21"/>
      <c r="BR1407" s="21"/>
      <c r="BS1407" s="21"/>
      <c r="BU1407" s="21"/>
      <c r="BX1407" s="21"/>
      <c r="CG1407" s="21"/>
      <c r="CH1407" s="21"/>
      <c r="CI1407" s="21"/>
      <c r="CJ1407" s="21"/>
    </row>
    <row r="1408" spans="60:88" x14ac:dyDescent="0.25">
      <c r="BH1408" s="21"/>
      <c r="BI1408" s="21"/>
      <c r="BJ1408" s="21"/>
      <c r="BK1408" s="21"/>
      <c r="BL1408" s="21"/>
      <c r="BM1408" s="21"/>
      <c r="BN1408" s="21"/>
      <c r="BO1408" s="21"/>
      <c r="BQ1408" s="21"/>
      <c r="BR1408" s="21"/>
      <c r="BS1408" s="21"/>
      <c r="BU1408" s="21"/>
      <c r="BX1408" s="21"/>
      <c r="CG1408" s="21"/>
      <c r="CH1408" s="21"/>
      <c r="CI1408" s="21"/>
      <c r="CJ1408" s="21"/>
    </row>
    <row r="1409" spans="60:88" x14ac:dyDescent="0.25">
      <c r="BH1409" s="21"/>
      <c r="BI1409" s="21"/>
      <c r="BJ1409" s="21"/>
      <c r="BK1409" s="21"/>
      <c r="BL1409" s="21"/>
      <c r="BM1409" s="21"/>
      <c r="BN1409" s="21"/>
      <c r="BO1409" s="21"/>
      <c r="BQ1409" s="21"/>
      <c r="BR1409" s="21"/>
      <c r="BS1409" s="21"/>
      <c r="BU1409" s="21"/>
      <c r="BX1409" s="21"/>
      <c r="CG1409" s="21"/>
      <c r="CH1409" s="21"/>
      <c r="CI1409" s="21"/>
      <c r="CJ1409" s="21"/>
    </row>
    <row r="1410" spans="60:88" x14ac:dyDescent="0.25">
      <c r="BH1410" s="21"/>
      <c r="BI1410" s="21"/>
      <c r="BJ1410" s="21"/>
      <c r="BK1410" s="21"/>
      <c r="BL1410" s="21"/>
      <c r="BM1410" s="21"/>
      <c r="BN1410" s="21"/>
      <c r="BO1410" s="21"/>
      <c r="BQ1410" s="21"/>
      <c r="BR1410" s="21"/>
      <c r="BS1410" s="21"/>
      <c r="BU1410" s="21"/>
      <c r="BX1410" s="21"/>
      <c r="CG1410" s="21"/>
      <c r="CH1410" s="21"/>
      <c r="CI1410" s="21"/>
      <c r="CJ1410" s="21"/>
    </row>
    <row r="1411" spans="60:88" x14ac:dyDescent="0.25">
      <c r="BH1411" s="21"/>
      <c r="BI1411" s="21"/>
      <c r="BJ1411" s="21"/>
      <c r="BK1411" s="21"/>
      <c r="BL1411" s="21"/>
      <c r="BM1411" s="21"/>
      <c r="BN1411" s="21"/>
      <c r="BO1411" s="21"/>
      <c r="BQ1411" s="21"/>
      <c r="BR1411" s="21"/>
      <c r="BS1411" s="21"/>
      <c r="BU1411" s="21"/>
      <c r="BX1411" s="21"/>
      <c r="CG1411" s="21"/>
      <c r="CH1411" s="21"/>
      <c r="CI1411" s="21"/>
      <c r="CJ1411" s="21"/>
    </row>
    <row r="1412" spans="60:88" x14ac:dyDescent="0.25">
      <c r="BH1412" s="21"/>
      <c r="BI1412" s="21"/>
      <c r="BJ1412" s="21"/>
      <c r="BK1412" s="21"/>
      <c r="BL1412" s="21"/>
      <c r="BM1412" s="21"/>
      <c r="BN1412" s="21"/>
      <c r="BO1412" s="21"/>
      <c r="BQ1412" s="21"/>
      <c r="BR1412" s="21"/>
      <c r="BS1412" s="21"/>
      <c r="BU1412" s="21"/>
      <c r="BX1412" s="21"/>
      <c r="CG1412" s="21"/>
      <c r="CH1412" s="21"/>
      <c r="CI1412" s="21"/>
      <c r="CJ1412" s="21"/>
    </row>
    <row r="1413" spans="60:88" x14ac:dyDescent="0.25">
      <c r="BH1413" s="21"/>
      <c r="BI1413" s="21"/>
      <c r="BJ1413" s="21"/>
      <c r="BK1413" s="21"/>
      <c r="BL1413" s="21"/>
      <c r="BM1413" s="21"/>
      <c r="BN1413" s="21"/>
      <c r="BO1413" s="21"/>
      <c r="BQ1413" s="21"/>
      <c r="BR1413" s="21"/>
      <c r="BS1413" s="21"/>
      <c r="BU1413" s="21"/>
      <c r="BX1413" s="21"/>
      <c r="CG1413" s="21"/>
      <c r="CH1413" s="21"/>
      <c r="CI1413" s="21"/>
      <c r="CJ1413" s="21"/>
    </row>
    <row r="1414" spans="60:88" x14ac:dyDescent="0.25">
      <c r="BH1414" s="21"/>
      <c r="BI1414" s="21"/>
      <c r="BJ1414" s="21"/>
      <c r="BK1414" s="21"/>
      <c r="BL1414" s="21"/>
      <c r="BM1414" s="21"/>
      <c r="BN1414" s="21"/>
      <c r="BO1414" s="21"/>
      <c r="BQ1414" s="21"/>
      <c r="BR1414" s="21"/>
      <c r="BS1414" s="21"/>
      <c r="BU1414" s="21"/>
      <c r="BX1414" s="21"/>
      <c r="CG1414" s="21"/>
      <c r="CH1414" s="21"/>
      <c r="CI1414" s="21"/>
      <c r="CJ1414" s="21"/>
    </row>
    <row r="1415" spans="60:88" x14ac:dyDescent="0.25">
      <c r="BH1415" s="21"/>
      <c r="BI1415" s="21"/>
      <c r="BJ1415" s="21"/>
      <c r="BK1415" s="21"/>
      <c r="BL1415" s="21"/>
      <c r="BM1415" s="21"/>
      <c r="BN1415" s="21"/>
      <c r="BO1415" s="21"/>
      <c r="BQ1415" s="21"/>
      <c r="BR1415" s="21"/>
      <c r="BS1415" s="21"/>
      <c r="BU1415" s="21"/>
      <c r="BX1415" s="21"/>
      <c r="CG1415" s="21"/>
      <c r="CH1415" s="21"/>
      <c r="CI1415" s="21"/>
      <c r="CJ1415" s="21"/>
    </row>
    <row r="1416" spans="60:88" x14ac:dyDescent="0.25">
      <c r="BH1416" s="21"/>
      <c r="BI1416" s="21"/>
      <c r="BJ1416" s="21"/>
      <c r="BK1416" s="21"/>
      <c r="BL1416" s="21"/>
      <c r="BM1416" s="21"/>
      <c r="BN1416" s="21"/>
      <c r="BO1416" s="21"/>
      <c r="BQ1416" s="21"/>
      <c r="BR1416" s="21"/>
      <c r="BS1416" s="21"/>
      <c r="BU1416" s="21"/>
      <c r="BX1416" s="21"/>
      <c r="CG1416" s="21"/>
      <c r="CH1416" s="21"/>
      <c r="CI1416" s="21"/>
      <c r="CJ1416" s="21"/>
    </row>
    <row r="1417" spans="60:88" x14ac:dyDescent="0.25">
      <c r="BH1417" s="21"/>
      <c r="BI1417" s="21"/>
      <c r="BJ1417" s="21"/>
      <c r="BK1417" s="21"/>
      <c r="BL1417" s="21"/>
      <c r="BM1417" s="21"/>
      <c r="BN1417" s="21"/>
      <c r="BO1417" s="21"/>
      <c r="BQ1417" s="21"/>
      <c r="BR1417" s="21"/>
      <c r="BS1417" s="21"/>
      <c r="BU1417" s="21"/>
      <c r="BX1417" s="21"/>
      <c r="CG1417" s="21"/>
      <c r="CH1417" s="21"/>
      <c r="CI1417" s="21"/>
      <c r="CJ1417" s="21"/>
    </row>
    <row r="1418" spans="60:88" x14ac:dyDescent="0.25">
      <c r="BH1418" s="21"/>
      <c r="BI1418" s="21"/>
      <c r="BJ1418" s="21"/>
      <c r="BK1418" s="21"/>
      <c r="BL1418" s="21"/>
      <c r="BM1418" s="21"/>
      <c r="BN1418" s="21"/>
      <c r="BO1418" s="21"/>
      <c r="BQ1418" s="21"/>
      <c r="BR1418" s="21"/>
      <c r="BS1418" s="21"/>
      <c r="BU1418" s="21"/>
      <c r="BX1418" s="21"/>
      <c r="CG1418" s="21"/>
      <c r="CH1418" s="21"/>
      <c r="CI1418" s="21"/>
      <c r="CJ1418" s="21"/>
    </row>
    <row r="1419" spans="60:88" x14ac:dyDescent="0.25">
      <c r="BH1419" s="21"/>
      <c r="BI1419" s="21"/>
      <c r="BJ1419" s="21"/>
      <c r="BK1419" s="21"/>
      <c r="BL1419" s="21"/>
      <c r="BM1419" s="21"/>
      <c r="BN1419" s="21"/>
      <c r="BO1419" s="21"/>
      <c r="BQ1419" s="21"/>
      <c r="BR1419" s="21"/>
      <c r="BS1419" s="21"/>
      <c r="BU1419" s="21"/>
      <c r="BX1419" s="21"/>
      <c r="CG1419" s="21"/>
      <c r="CH1419" s="21"/>
      <c r="CI1419" s="21"/>
      <c r="CJ1419" s="21"/>
    </row>
    <row r="1420" spans="60:88" x14ac:dyDescent="0.25">
      <c r="BH1420" s="21"/>
      <c r="BI1420" s="21"/>
      <c r="BJ1420" s="21"/>
      <c r="BK1420" s="21"/>
      <c r="BL1420" s="21"/>
      <c r="BM1420" s="21"/>
      <c r="BN1420" s="21"/>
      <c r="BO1420" s="21"/>
      <c r="BQ1420" s="21"/>
      <c r="BR1420" s="21"/>
      <c r="BS1420" s="21"/>
      <c r="BU1420" s="21"/>
      <c r="BX1420" s="21"/>
      <c r="CG1420" s="21"/>
      <c r="CH1420" s="21"/>
      <c r="CI1420" s="21"/>
      <c r="CJ1420" s="21"/>
    </row>
    <row r="1421" spans="60:88" x14ac:dyDescent="0.25">
      <c r="BH1421" s="21"/>
      <c r="BI1421" s="21"/>
      <c r="BJ1421" s="21"/>
      <c r="BK1421" s="21"/>
      <c r="BL1421" s="21"/>
      <c r="BM1421" s="21"/>
      <c r="BN1421" s="21"/>
      <c r="BO1421" s="21"/>
      <c r="BQ1421" s="21"/>
      <c r="BR1421" s="21"/>
      <c r="BS1421" s="21"/>
      <c r="BU1421" s="21"/>
      <c r="BX1421" s="21"/>
      <c r="CG1421" s="21"/>
      <c r="CH1421" s="21"/>
      <c r="CI1421" s="21"/>
      <c r="CJ1421" s="21"/>
    </row>
    <row r="1422" spans="60:88" x14ac:dyDescent="0.25">
      <c r="BH1422" s="21"/>
      <c r="BI1422" s="21"/>
      <c r="BJ1422" s="21"/>
      <c r="BK1422" s="21"/>
      <c r="BL1422" s="21"/>
      <c r="BM1422" s="21"/>
      <c r="BN1422" s="21"/>
      <c r="BO1422" s="21"/>
      <c r="BQ1422" s="21"/>
      <c r="BR1422" s="21"/>
      <c r="BS1422" s="21"/>
      <c r="BU1422" s="21"/>
      <c r="BX1422" s="21"/>
      <c r="CG1422" s="21"/>
      <c r="CH1422" s="21"/>
      <c r="CI1422" s="21"/>
      <c r="CJ1422" s="21"/>
    </row>
  </sheetData>
  <autoFilter ref="A2:DK537" xr:uid="{13CEFEC8-4E3C-4733-95A7-315611A7C7C7}">
    <sortState xmlns:xlrd2="http://schemas.microsoft.com/office/spreadsheetml/2017/richdata2" ref="A3:DK537">
      <sortCondition descending="1" ref="CK2:CK537"/>
    </sortState>
  </autoFilter>
  <sortState xmlns:xlrd2="http://schemas.microsoft.com/office/spreadsheetml/2017/richdata2" ref="A3:BG542">
    <sortCondition ref="K3:K542" customList="DUNS Match,Standard Match,Name Only Match,URL Match"/>
    <sortCondition descending="1" ref="M3:M542"/>
  </sortState>
  <mergeCells count="1">
    <mergeCell ref="CS1:CV1"/>
  </mergeCells>
  <phoneticPr fontId="19" type="noConversion"/>
  <pageMargins left="0.7" right="0.7" top="0.75" bottom="0.75" header="0.3" footer="0.3"/>
  <pageSetup orientation="portrait" verticalDpi="360"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41297E-76E3-4C31-840B-71DBB40C0AC9}">
  <sheetPr codeName="Sheet3"/>
  <dimension ref="A2:V42"/>
  <sheetViews>
    <sheetView topLeftCell="A7" workbookViewId="0">
      <selection activeCell="C37" sqref="C37"/>
    </sheetView>
  </sheetViews>
  <sheetFormatPr defaultColWidth="9.140625" defaultRowHeight="15" x14ac:dyDescent="0.25"/>
  <cols>
    <col min="1" max="1" width="4.7109375" style="28" customWidth="1"/>
    <col min="2" max="2" width="54.7109375" style="28" customWidth="1"/>
    <col min="3" max="4" width="9.140625" style="28"/>
    <col min="5" max="5" width="6.5703125" style="28" customWidth="1"/>
    <col min="6" max="6" width="24.7109375" style="28" customWidth="1"/>
    <col min="7" max="16" width="10.42578125" style="28" customWidth="1"/>
    <col min="17" max="17" width="11.140625" style="28" bestFit="1" customWidth="1"/>
    <col min="18" max="20" width="10.42578125" style="28" customWidth="1"/>
    <col min="21" max="21" width="10.5703125" style="28" customWidth="1"/>
    <col min="22" max="16384" width="9.140625" style="28"/>
  </cols>
  <sheetData>
    <row r="2" spans="2:10" x14ac:dyDescent="0.25">
      <c r="B2" s="28" t="s">
        <v>5097</v>
      </c>
      <c r="G2" s="133" t="s">
        <v>5106</v>
      </c>
      <c r="H2" s="133"/>
      <c r="I2" s="133"/>
      <c r="J2" s="133"/>
    </row>
    <row r="3" spans="2:10" x14ac:dyDescent="0.25">
      <c r="B3" s="138" t="s">
        <v>5100</v>
      </c>
      <c r="C3" s="138" t="s">
        <v>4368</v>
      </c>
      <c r="D3" s="138" t="s">
        <v>4369</v>
      </c>
      <c r="G3" s="134" t="s">
        <v>5100</v>
      </c>
      <c r="H3" s="134" t="s">
        <v>4368</v>
      </c>
      <c r="I3" s="134" t="s">
        <v>4369</v>
      </c>
      <c r="J3" s="134"/>
    </row>
    <row r="4" spans="2:10" x14ac:dyDescent="0.25">
      <c r="B4" s="139" t="s">
        <v>4373</v>
      </c>
      <c r="C4" s="140">
        <f>COUNTA('Company Data'!$CP$2:$CP$537)-1</f>
        <v>535</v>
      </c>
      <c r="D4" s="141">
        <v>1</v>
      </c>
      <c r="F4" s="314">
        <f>C4-C5-C6</f>
        <v>460</v>
      </c>
      <c r="G4" s="133" t="s">
        <v>4373</v>
      </c>
      <c r="H4" s="135">
        <f>COUNTA('Company Data'!$A$2:$A$537)-1</f>
        <v>535</v>
      </c>
      <c r="I4" s="136">
        <f>H4/H4</f>
        <v>1</v>
      </c>
      <c r="J4" s="136"/>
    </row>
    <row r="5" spans="2:10" x14ac:dyDescent="0.25">
      <c r="B5" s="139" t="s">
        <v>4374</v>
      </c>
      <c r="C5" s="45">
        <f>COUNTIF('Company Data'!$CP$2:$CP$537,"No Match")</f>
        <v>51</v>
      </c>
      <c r="D5" s="141">
        <f t="shared" ref="D5:D12" si="0">C5/$C$4</f>
        <v>9.5327102803738323E-2</v>
      </c>
      <c r="G5" s="133" t="s">
        <v>4374</v>
      </c>
      <c r="H5" s="135">
        <f>COUNTIF('Company Data'!$K$2:$K$537,"")</f>
        <v>51</v>
      </c>
      <c r="I5" s="136">
        <f t="shared" ref="I5:I12" si="1">H5/$H$4</f>
        <v>9.5327102803738323E-2</v>
      </c>
      <c r="J5" s="136"/>
    </row>
    <row r="6" spans="2:10" x14ac:dyDescent="0.25">
      <c r="B6" s="139" t="s">
        <v>4408</v>
      </c>
      <c r="C6" s="45">
        <f>COUNTIF('Company Data'!$CP$2:$CP$537,"Name Only Match")</f>
        <v>24</v>
      </c>
      <c r="D6" s="141">
        <f t="shared" si="0"/>
        <v>4.4859813084112146E-2</v>
      </c>
      <c r="G6" s="133" t="s">
        <v>4381</v>
      </c>
      <c r="H6" s="135">
        <f>COUNTIF('Company Data'!$K$2:$K$537,"Name Only Match")</f>
        <v>80</v>
      </c>
      <c r="I6" s="136">
        <f t="shared" si="1"/>
        <v>0.14953271028037382</v>
      </c>
      <c r="J6" s="136"/>
    </row>
    <row r="7" spans="2:10" x14ac:dyDescent="0.25">
      <c r="B7" s="139" t="s">
        <v>4380</v>
      </c>
      <c r="C7" s="45">
        <f>COUNTIF('Company Data'!$CP$2:$CP$537,"Match")</f>
        <v>460</v>
      </c>
      <c r="D7" s="141">
        <f t="shared" si="0"/>
        <v>0.85981308411214952</v>
      </c>
      <c r="G7" s="133" t="s">
        <v>4380</v>
      </c>
      <c r="H7" s="135">
        <f>COUNTIF('Company Data'!$K$2:$K$537,"Standard Match")</f>
        <v>404</v>
      </c>
      <c r="I7" s="136">
        <f t="shared" si="1"/>
        <v>0.7551401869158878</v>
      </c>
      <c r="J7" s="136"/>
    </row>
    <row r="8" spans="2:10" ht="30" x14ac:dyDescent="0.25">
      <c r="B8" s="139" t="s">
        <v>4376</v>
      </c>
      <c r="C8" s="45">
        <f>C7</f>
        <v>460</v>
      </c>
      <c r="D8" s="141">
        <f t="shared" si="0"/>
        <v>0.85981308411214952</v>
      </c>
      <c r="G8" s="133" t="s">
        <v>4376</v>
      </c>
      <c r="H8" s="137">
        <f>H7</f>
        <v>404</v>
      </c>
      <c r="I8" s="136">
        <f t="shared" si="1"/>
        <v>0.7551401869158878</v>
      </c>
      <c r="J8" s="136"/>
    </row>
    <row r="9" spans="2:10" ht="30" x14ac:dyDescent="0.25">
      <c r="B9" s="139" t="s">
        <v>4409</v>
      </c>
      <c r="C9" s="45">
        <f>COUNTIFS('Company Data'!$CP$2:$CP$537,"Match",'Company Data'!$AA$2:$AA$537,"Single Location",'Company Data'!$AQ$2:$AQ$537,"Not a Subsidiary")</f>
        <v>304</v>
      </c>
      <c r="D9" s="141">
        <f t="shared" si="0"/>
        <v>0.5682242990654206</v>
      </c>
      <c r="G9" s="133" t="s">
        <v>4409</v>
      </c>
      <c r="H9" s="135">
        <f>COUNTIFS('Company Data'!$K$2:$K$537,"Standard Match",'Company Data'!$AA$2:$AA$537,"Single Location",'Company Data'!$AQ$2:$AQ$537,"Not a Subsidiary")</f>
        <v>270</v>
      </c>
      <c r="I9" s="136">
        <f t="shared" si="1"/>
        <v>0.50467289719626163</v>
      </c>
      <c r="J9" s="136"/>
    </row>
    <row r="10" spans="2:10" x14ac:dyDescent="0.25">
      <c r="B10" s="139" t="s">
        <v>4377</v>
      </c>
      <c r="C10" s="45">
        <f>COUNTIFS('Company Data'!$CP$2:$CP$537,"Match",'Company Data'!$CK$2:$CK$537,"&gt;0")</f>
        <v>443</v>
      </c>
      <c r="D10" s="141">
        <f t="shared" si="0"/>
        <v>0.82803738317757014</v>
      </c>
      <c r="G10" s="133" t="s">
        <v>4377</v>
      </c>
      <c r="H10" s="135">
        <f>COUNTIFS('Company Data'!$K$2:$K$537,"Standard Match",'Company Data'!$CK$2:$CK$537,"&gt;0")</f>
        <v>391</v>
      </c>
      <c r="I10" s="136">
        <f t="shared" si="1"/>
        <v>0.7308411214953271</v>
      </c>
      <c r="J10" s="136"/>
    </row>
    <row r="11" spans="2:10" x14ac:dyDescent="0.25">
      <c r="B11" s="139" t="s">
        <v>4378</v>
      </c>
      <c r="C11" s="45">
        <f>COUNTIFS('Company Data'!$CP$2:$CP$537,"Match",'Company Data'!$CL$2:$CL$537,"&gt;0")</f>
        <v>449</v>
      </c>
      <c r="D11" s="141">
        <f t="shared" si="0"/>
        <v>0.83925233644859809</v>
      </c>
      <c r="G11" s="133" t="s">
        <v>4378</v>
      </c>
      <c r="H11" s="135">
        <f>COUNTIFS('Company Data'!$K$2:$K$537,"Standard Match",'Company Data'!$CL$2:$CL$537,"&gt;0")</f>
        <v>396</v>
      </c>
      <c r="I11" s="136">
        <f t="shared" si="1"/>
        <v>0.74018691588785046</v>
      </c>
      <c r="J11" s="136"/>
    </row>
    <row r="12" spans="2:10" ht="30" x14ac:dyDescent="0.25">
      <c r="B12" s="139" t="s">
        <v>4379</v>
      </c>
      <c r="C12" s="45">
        <f>COUNTIFS('Company Data'!$CP$2:$CP$537,"Match",'Company Data'!$CK$2:$CK$537,"&gt;0",'Company Data'!$CL$2:$CL$537,"&gt;0")</f>
        <v>436</v>
      </c>
      <c r="D12" s="141">
        <f t="shared" si="0"/>
        <v>0.81495327102803738</v>
      </c>
      <c r="G12" s="133" t="s">
        <v>4379</v>
      </c>
      <c r="H12" s="135">
        <f>COUNTIFS('Company Data'!$K$2:$K$537,"Standard Match",'Company Data'!$CK$2:$CK$537,"&gt;0",'Company Data'!$CL$2:$CL$537,"&gt;0")</f>
        <v>384</v>
      </c>
      <c r="I12" s="136">
        <f t="shared" si="1"/>
        <v>0.71775700934579434</v>
      </c>
      <c r="J12" s="136"/>
    </row>
    <row r="14" spans="2:10" x14ac:dyDescent="0.25">
      <c r="B14" s="45" t="s">
        <v>4434</v>
      </c>
      <c r="C14" s="45">
        <f>COUNTIFS('Company Data'!$CQ$2:$CQ$537,"Y",'Company Data'!$CN$2:$CN$537,1)</f>
        <v>406</v>
      </c>
    </row>
    <row r="15" spans="2:10" x14ac:dyDescent="0.25">
      <c r="B15" s="45" t="s">
        <v>4435</v>
      </c>
      <c r="C15" s="45">
        <f>COUNTIFS('Company Data'!$CQ$2:$CQ$537,"Y",'Company Data'!$CN$2:$CN$537,2)</f>
        <v>22</v>
      </c>
    </row>
    <row r="17" spans="1:22" x14ac:dyDescent="0.25">
      <c r="B17" s="142" t="s">
        <v>4457</v>
      </c>
      <c r="C17" s="142">
        <f>COUNTIFS('Company Data'!$CQ$2:$CQ$537,"Y",'Company Data'!$CN$2:$CN$537,1,'Company Data'!$CV$2:$CV$537,"YES")</f>
        <v>355</v>
      </c>
      <c r="D17" s="143">
        <f>C17/$C$14</f>
        <v>0.87438423645320196</v>
      </c>
      <c r="J17" s="314">
        <f>C4-C12</f>
        <v>99</v>
      </c>
      <c r="K17" s="331">
        <f>108/436</f>
        <v>0.24770642201834864</v>
      </c>
    </row>
    <row r="18" spans="1:22" x14ac:dyDescent="0.25">
      <c r="B18" s="142" t="s">
        <v>4458</v>
      </c>
      <c r="C18" s="142">
        <f>COUNTIFS('Company Data'!$CQ$2:$CQ$537,"Y",'Company Data'!$CN$2:$CN$537,1,'Company Data'!$CV$2:$CV$537,"NO")</f>
        <v>51</v>
      </c>
      <c r="D18" s="143">
        <f>C18/$C$14</f>
        <v>0.12561576354679804</v>
      </c>
    </row>
    <row r="20" spans="1:22" hidden="1" x14ac:dyDescent="0.25">
      <c r="B20" s="87" t="s">
        <v>5098</v>
      </c>
      <c r="C20" s="87">
        <f>COUNTIFS('Company Data'!$CQ$2:$CQ$537,"Y",'Company Data'!$CV$2:$CV$537,"YES")</f>
        <v>359</v>
      </c>
      <c r="D20" s="88">
        <f>C20/$C$12</f>
        <v>0.82339449541284404</v>
      </c>
    </row>
    <row r="21" spans="1:22" hidden="1" x14ac:dyDescent="0.25">
      <c r="A21"/>
      <c r="B21" s="87" t="s">
        <v>5099</v>
      </c>
      <c r="C21" s="87">
        <f>COUNTIFS('Company Data'!$CQ$2:$CQ$537,"Y",'Company Data'!$CV$2:$CV$537,"NO")</f>
        <v>77</v>
      </c>
      <c r="D21" s="88">
        <f>C21/$C$12</f>
        <v>0.17660550458715596</v>
      </c>
    </row>
    <row r="22" spans="1:22" x14ac:dyDescent="0.25">
      <c r="A22"/>
      <c r="B22"/>
      <c r="C22"/>
    </row>
    <row r="23" spans="1:22" x14ac:dyDescent="0.25">
      <c r="A23"/>
    </row>
    <row r="24" spans="1:22" x14ac:dyDescent="0.25">
      <c r="A24"/>
    </row>
    <row r="25" spans="1:22" ht="15.75" thickBot="1" x14ac:dyDescent="0.3">
      <c r="A25"/>
    </row>
    <row r="26" spans="1:22" x14ac:dyDescent="0.25">
      <c r="A26"/>
      <c r="B26" s="202" t="s">
        <v>5101</v>
      </c>
      <c r="C26" s="203"/>
      <c r="D26" s="204"/>
      <c r="E26" s="205"/>
      <c r="F26" s="323" t="s">
        <v>5102</v>
      </c>
      <c r="G26" s="324"/>
      <c r="H26" s="324"/>
      <c r="I26" s="325"/>
      <c r="J26" s="323" t="s">
        <v>5103</v>
      </c>
      <c r="K26" s="324"/>
      <c r="L26" s="324"/>
      <c r="M26" s="325"/>
      <c r="N26" s="323" t="s">
        <v>4469</v>
      </c>
      <c r="O26" s="324"/>
      <c r="P26" s="324"/>
      <c r="Q26" s="325"/>
      <c r="R26" s="323" t="s">
        <v>4470</v>
      </c>
      <c r="S26" s="324"/>
      <c r="T26" s="324"/>
      <c r="U26" s="325"/>
    </row>
    <row r="27" spans="1:22" ht="17.25" x14ac:dyDescent="0.25">
      <c r="A27"/>
      <c r="B27" s="144"/>
      <c r="C27" s="210" t="s">
        <v>4368</v>
      </c>
      <c r="D27" s="185" t="s">
        <v>4369</v>
      </c>
      <c r="E27" s="145"/>
      <c r="F27" s="184" t="s">
        <v>5105</v>
      </c>
      <c r="G27" s="185" t="s">
        <v>5147</v>
      </c>
      <c r="H27" s="185" t="s">
        <v>5148</v>
      </c>
      <c r="I27" s="186" t="s">
        <v>5115</v>
      </c>
      <c r="J27" s="184" t="s">
        <v>5105</v>
      </c>
      <c r="K27" s="185" t="s">
        <v>5147</v>
      </c>
      <c r="L27" s="185" t="s">
        <v>5148</v>
      </c>
      <c r="M27" s="186" t="s">
        <v>5115</v>
      </c>
      <c r="N27" s="184" t="s">
        <v>5105</v>
      </c>
      <c r="O27" s="185" t="s">
        <v>5147</v>
      </c>
      <c r="P27" s="185" t="s">
        <v>5148</v>
      </c>
      <c r="Q27" s="186" t="s">
        <v>5115</v>
      </c>
      <c r="R27" s="184" t="s">
        <v>5105</v>
      </c>
      <c r="S27" s="185" t="s">
        <v>5147</v>
      </c>
      <c r="T27" s="185" t="s">
        <v>5148</v>
      </c>
      <c r="U27" s="186" t="s">
        <v>5115</v>
      </c>
    </row>
    <row r="28" spans="1:22" x14ac:dyDescent="0.25">
      <c r="A28"/>
      <c r="B28" s="211" t="s">
        <v>5107</v>
      </c>
      <c r="C28" s="244">
        <f>COUNTA('Company Data'!$CZ$2:$CZ$537)-1</f>
        <v>535</v>
      </c>
      <c r="D28" s="245">
        <f>C28/$C$28</f>
        <v>1</v>
      </c>
      <c r="E28" s="246"/>
      <c r="F28" s="247"/>
      <c r="G28" s="248"/>
      <c r="H28" s="249"/>
      <c r="I28" s="250"/>
      <c r="J28" s="251"/>
      <c r="K28" s="252"/>
      <c r="L28" s="253"/>
      <c r="M28" s="254"/>
      <c r="N28" s="255"/>
      <c r="O28" s="253"/>
      <c r="P28" s="253"/>
      <c r="Q28" s="254"/>
      <c r="R28" s="255"/>
      <c r="S28" s="253"/>
      <c r="T28" s="253"/>
      <c r="U28" s="254"/>
      <c r="V28" s="230"/>
    </row>
    <row r="29" spans="1:22" x14ac:dyDescent="0.25">
      <c r="B29" s="212" t="s">
        <v>5108</v>
      </c>
      <c r="C29" s="161">
        <f>COUNTIF('Company Data'!$CZ$2:$CZ$537,"Yes")</f>
        <v>399</v>
      </c>
      <c r="D29" s="213">
        <f>C29/$C$28</f>
        <v>0.74579439252336444</v>
      </c>
      <c r="E29" s="214"/>
      <c r="F29" s="160">
        <f>AVERAGEIF('Company Data'!$CZ$2:$CZ$537,"Yes",'Company Data'!$DA$2:$DA$537)</f>
        <v>49.130325814536342</v>
      </c>
      <c r="G29" s="161" cm="1">
        <f t="array" ref="G29">MEDIAN(IF('Company Data'!$CZ$2:$CZ$537="Yes",'Company Data'!$DA$2:$DA$537))</f>
        <v>2</v>
      </c>
      <c r="H29" s="161">
        <f>_xlfn.MINIFS('Company Data'!$DA$2:$DA$537,'Company Data'!$DA$2:$DA$537,"&gt;"&amp;0,'Company Data'!$CZ$2:$CZ$537,"Yes")</f>
        <v>1</v>
      </c>
      <c r="I29" s="162">
        <f>_xlfn.MAXIFS('Company Data'!$DA$2:$DA$537,'Company Data'!$CZ$2:$CZ$537,"Yes")</f>
        <v>5725</v>
      </c>
      <c r="J29" s="163">
        <f>AVERAGEIF('Company Data'!$CZ$2:$CZ$537,"Yes",'Company Data'!$DB$2:$DB$537)</f>
        <v>78.353383458646618</v>
      </c>
      <c r="K29" s="161" cm="1">
        <f t="array" ref="K29">MEDIAN(IF('Company Data'!$CZ$2:$CZ$537="Yes",'Company Data'!$DB$2:$DB$537))</f>
        <v>10</v>
      </c>
      <c r="L29" s="164">
        <f>_xlfn.MINIFS('Company Data'!$DB$2:$DB$537,'Company Data'!$DB$2:$DB$537,"&gt;"&amp;0,'Company Data'!$CZ$2:$CZ$537,"Yes")</f>
        <v>1</v>
      </c>
      <c r="M29" s="165">
        <f>_xlfn.MAXIFS('Company Data'!$DB$2:$DB$537,'Company Data'!$CZ$2:$CZ$537,"Yes")</f>
        <v>5641</v>
      </c>
      <c r="N29" s="166">
        <f>AVERAGEIF('Company Data'!$CZ$2:$CZ$537,"Yes",'Company Data'!$DD$2:$DD$537)</f>
        <v>6436697.8847117797</v>
      </c>
      <c r="O29" s="161" cm="1">
        <f t="array" ref="O29">MEDIAN(IF('Company Data'!$CZ$2:$CZ$537="Yes",'Company Data'!$DD$2:$DD$537))</f>
        <v>34156</v>
      </c>
      <c r="P29" s="164">
        <f>_xlfn.MINIFS('Company Data'!$DD$2:$DD$537,'Company Data'!$DD$2:$DD$537,"&gt;"&amp;0,'Company Data'!$CZ$2:$CZ$537,"Yes")</f>
        <v>17</v>
      </c>
      <c r="Q29" s="165">
        <f>_xlfn.MAXIFS('Company Data'!$DD$2:$DD$537,'Company Data'!$CZ$2:$CZ$537,"Yes")</f>
        <v>479519075</v>
      </c>
      <c r="R29" s="166">
        <f>AVERAGEIF('Company Data'!$CZ$2:$CZ$537,"Yes",'Company Data'!$DE$2:$DE$537)</f>
        <v>1151257.3458646617</v>
      </c>
      <c r="S29" s="161" cm="1">
        <f t="array" ref="S29">MEDIAN(IF('Company Data'!$CZ$2:$CZ$537="Yes",'Company Data'!$DE$2:$DE$537))</f>
        <v>6289</v>
      </c>
      <c r="T29" s="164">
        <f>_xlfn.MINIFS('Company Data'!$DE$2:$DE$537,'Company Data'!$DE$2:$DE$537,"&gt;"&amp;0,'Company Data'!$CZ$2:$CZ$537,"Yes")</f>
        <v>1</v>
      </c>
      <c r="U29" s="165">
        <f>_xlfn.MAXIFS('Company Data'!$DE$2:$DE$537,'Company Data'!$CZ$2:$CZ$537,"Yes")</f>
        <v>75846044</v>
      </c>
    </row>
    <row r="30" spans="1:22" x14ac:dyDescent="0.25">
      <c r="B30" s="215" t="s">
        <v>5110</v>
      </c>
      <c r="C30" s="154">
        <f>COUNTIFS('Company Data'!$CZ$2:$CZ$537,"Yes",'Company Data'!$CQ$2:$CQ$537,"Y")</f>
        <v>324</v>
      </c>
      <c r="D30" s="216">
        <f>C30/$C$29</f>
        <v>0.81203007518796988</v>
      </c>
      <c r="E30" s="217"/>
      <c r="F30" s="153">
        <f>AVERAGEIFS('Company Data'!$DA$2:$DA$537,'Company Data'!$CZ$2:$CZ$537,"Yes",'Company Data'!$CQ$2:$CQ$537,"Y")</f>
        <v>58.067901234567898</v>
      </c>
      <c r="G30" s="154" cm="1">
        <f t="array" ref="G30">MEDIAN(IF('Company Data'!$CZ$2:$CZ$537="Yes",IF('Company Data'!$CQ$2:$CQ$537="Y",'Company Data'!$DA$2:$DA$537)))</f>
        <v>2</v>
      </c>
      <c r="H30" s="154">
        <f>_xlfn.MINIFS('Company Data'!$DA$2:$DA$537,'Company Data'!$DA$2:$DA$537,"&gt;"&amp;0,'Company Data'!$CZ$2:$CZ$537,"Yes",'Company Data'!$CQ$2:$CQ$537,"Y")</f>
        <v>1</v>
      </c>
      <c r="I30" s="155">
        <f>_xlfn.MAXIFS('Company Data'!$DA$2:$DA$537,'Company Data'!$CZ$2:$CZ$537,"Yes",'Company Data'!$CQ$2:$CQ$537,"Y")</f>
        <v>5725</v>
      </c>
      <c r="J30" s="156">
        <f>AVERAGEIFS('Company Data'!$DB$2:$DB$537,'Company Data'!$CZ$2:$CZ$537,"Yes",'Company Data'!$CQ$2:$CQ$537,"Y")</f>
        <v>90.129629629629633</v>
      </c>
      <c r="K30" s="154" cm="1">
        <f t="array" ref="K30">MEDIAN(IF('Company Data'!$CZ$2:$CZ$537="Yes",IF('Company Data'!$CQ$2:$CQ$537="Y",'Company Data'!$DB$2:$DB$537)))</f>
        <v>12</v>
      </c>
      <c r="L30" s="157">
        <f>_xlfn.MINIFS('Company Data'!$DB$2:$DB$537,'Company Data'!$DB$2:$DB$537,"&gt;"&amp;0,'Company Data'!$CZ$2:$CZ$537,"Yes",'Company Data'!$CQ$2:$CQ$537,"Y")</f>
        <v>1</v>
      </c>
      <c r="M30" s="158">
        <f>_xlfn.MAXIFS('Company Data'!$DB$2:$DB$537,'Company Data'!$CZ$2:$CZ$537,"Yes",'Company Data'!$CQ$2:$CQ$537,"Y")</f>
        <v>5641</v>
      </c>
      <c r="N30" s="159">
        <f>AVERAGEIFS('Company Data'!$DD$2:$DD$537,'Company Data'!$CZ$2:$CZ$537,"Yes",'Company Data'!$CQ$2:$CQ$537,"Y")</f>
        <v>7536552.9475308638</v>
      </c>
      <c r="O30" s="154" cm="1">
        <f t="array" ref="O30">MEDIAN(IF('Company Data'!$CZ$2:$CZ$537="Yes",IF('Company Data'!$CQ$2:$CQ$537="Y",'Company Data'!$DD$2:$DD$537)))</f>
        <v>48947.5</v>
      </c>
      <c r="P30" s="157">
        <f>_xlfn.MINIFS('Company Data'!$DD$2:$DD$537,'Company Data'!$DD$2:$DD$537,"&gt;"&amp;0,'Company Data'!$CZ$2:$CZ$537,"Yes",'Company Data'!$CQ$2:$CQ$537,"Y")</f>
        <v>17</v>
      </c>
      <c r="Q30" s="158">
        <f>_xlfn.MAXIFS('Company Data'!$DD$2:$DD$537,'Company Data'!$CZ$2:$CZ$537,"Yes",'Company Data'!$CQ$2:$CQ$537,"Y")</f>
        <v>479519075</v>
      </c>
      <c r="R30" s="159">
        <f>AVERAGEIFS('Company Data'!$DE$2:$DE$537,'Company Data'!$CZ$2:$CZ$537,"Yes",'Company Data'!$CQ$2:$CQ$537,"Y")</f>
        <v>1323574.2685185184</v>
      </c>
      <c r="S30" s="154" cm="1">
        <f t="array" ref="S30">MEDIAN(IF('Company Data'!$CZ$2:$CZ$537="Yes",IF('Company Data'!$CQ$2:$CQ$537="Y",'Company Data'!$DE$2:$DE$537)))</f>
        <v>9696</v>
      </c>
      <c r="T30" s="157">
        <f>_xlfn.MINIFS('Company Data'!$DE$2:$DE$537,'Company Data'!$DE$2:$DE$537,"&gt;"&amp;0,'Company Data'!$CZ$2:$CZ$537,"Yes",'Company Data'!$CQ$2:$CQ$537,"Y")</f>
        <v>1</v>
      </c>
      <c r="U30" s="158">
        <f>_xlfn.MAXIFS('Company Data'!$DE$2:$DE$537,'Company Data'!$CZ$2:$CZ$537,"Yes",'Company Data'!$CQ$2:$CQ$537,"Y")</f>
        <v>75846044</v>
      </c>
    </row>
    <row r="31" spans="1:22" ht="17.25" x14ac:dyDescent="0.25">
      <c r="B31" s="218" t="s">
        <v>5151</v>
      </c>
      <c r="C31" s="147">
        <f>COUNTIFS('Company Data'!$CZ$2:$CZ$537,"Yes",'Company Data'!$CV$2:$CV$537,"YES")</f>
        <v>296</v>
      </c>
      <c r="D31" s="219">
        <f>C31/$C$30</f>
        <v>0.9135802469135802</v>
      </c>
      <c r="E31" s="220"/>
      <c r="F31" s="146">
        <f>AVERAGEIFS('Company Data'!$DA$2:$DA$537,'Company Data'!$CZ$2:$CZ$537,"Yes",'Company Data'!$CV$2:$CV$537,"YES")</f>
        <v>23.510135135135137</v>
      </c>
      <c r="G31" s="147" cm="1">
        <f t="array" ref="G31">MEDIAN(IF('Company Data'!$CZ$2:$CZ$537="Yes",IF('Company Data'!$CV$2:$CV$537="YES",'Company Data'!$DA$2:$DA$537)))</f>
        <v>2</v>
      </c>
      <c r="H31" s="147">
        <f>_xlfn.MINIFS('Company Data'!$DA$2:$DA$537,'Company Data'!$DA$2:$DA$537,"&gt;"&amp;0,'Company Data'!$CZ$2:$CZ$537,"Yes",'Company Data'!$CV$2:$CV$537,"YES")</f>
        <v>1</v>
      </c>
      <c r="I31" s="148">
        <f>_xlfn.MAXIFS('Company Data'!$DA$2:$DA$537,'Company Data'!$CZ$2:$CZ$537,"Yes",'Company Data'!$CV$2:$CV$537,"YES")</f>
        <v>1259</v>
      </c>
      <c r="J31" s="149">
        <f>AVERAGEIFS('Company Data'!$DB$2:$DB$537,'Company Data'!$CZ$2:$CZ$537,"Yes",'Company Data'!$CV$2:$CV$537,"YES")</f>
        <v>53.375</v>
      </c>
      <c r="K31" s="147" cm="1">
        <f t="array" ref="K31">MEDIAN(IF('Company Data'!$CZ$2:$CZ$537="Yes",IF('Company Data'!$CV$2:$CV$537="YES",'Company Data'!$DB$2:$DB$537)))</f>
        <v>11</v>
      </c>
      <c r="L31" s="150">
        <f>_xlfn.MINIFS('Company Data'!$DB$2:$DB$537,'Company Data'!$DB$2:$DB$537,"&gt;"&amp;0,'Company Data'!$CZ$2:$CZ$537,"Yes",'Company Data'!$CV$2:$CV$537,"YES")</f>
        <v>1</v>
      </c>
      <c r="M31" s="151">
        <f>_xlfn.MAXIFS('Company Data'!$DB$2:$DB$537,'Company Data'!$CZ$2:$CZ$537,"Yes",'Company Data'!$CV$2:$CV$537,"YES")</f>
        <v>2181</v>
      </c>
      <c r="N31" s="152">
        <f>AVERAGEIFS('Company Data'!$DD$2:$DD$537,'Company Data'!$CZ$2:$CZ$537,"Yes",'Company Data'!$CV$2:$CV$537,"YES")</f>
        <v>2438971.1756756757</v>
      </c>
      <c r="O31" s="147" cm="1">
        <f t="array" ref="O31">MEDIAN(IF('Company Data'!$CZ$2:$CZ$537="Yes",IF('Company Data'!$CV$2:$CV$537="YES",'Company Data'!$DD$2:$DD$537)))</f>
        <v>42109.5</v>
      </c>
      <c r="P31" s="150">
        <f>_xlfn.MINIFS('Company Data'!$DD$2:$DD$537,'Company Data'!$DD$2:$DD$537,"&gt;"&amp;0,'Company Data'!$CZ$2:$CZ$537,"Yes",'Company Data'!$CV$2:$CV$537,"YES")</f>
        <v>17</v>
      </c>
      <c r="Q31" s="151">
        <f>_xlfn.MAXIFS('Company Data'!$DD$2:$DD$537,'Company Data'!$CZ$2:$CZ$537,"Yes",'Company Data'!$CV$2:$CV$537,"YES")</f>
        <v>123793892</v>
      </c>
      <c r="R31" s="152">
        <f>AVERAGEIFS('Company Data'!$DE$2:$DE$537,'Company Data'!$CZ$2:$CZ$537,"Yes",'Company Data'!$CV$2:$CV$537,"YES")</f>
        <v>368873.09121621621</v>
      </c>
      <c r="S31" s="147" cm="1">
        <f t="array" ref="S31">MEDIAN(IF('Company Data'!$CZ$2:$CZ$537="Yes",IF('Company Data'!$CV$2:$CV$537="YES",'Company Data'!$DE$2:$DE$537)))</f>
        <v>7613</v>
      </c>
      <c r="T31" s="150">
        <f>_xlfn.MINIFS('Company Data'!$DE$2:$DE$537,'Company Data'!$DE$2:$DE$537,"&gt;"&amp;0,'Company Data'!$CZ$2:$CZ$537,"Yes",'Company Data'!$CV$2:$CV$537,"YES")</f>
        <v>1</v>
      </c>
      <c r="U31" s="151">
        <f>_xlfn.MAXIFS('Company Data'!$DE$2:$DE$537,'Company Data'!$CZ$2:$CZ$537,"Yes",'Company Data'!$CV$2:$CV$537,"YES")</f>
        <v>33277069</v>
      </c>
      <c r="V31" s="230"/>
    </row>
    <row r="32" spans="1:22" ht="17.25" x14ac:dyDescent="0.25">
      <c r="B32" s="221" t="s">
        <v>5152</v>
      </c>
      <c r="C32" s="147">
        <f>COUNTIFS('Company Data'!$CZ$2:$CZ$537,"Yes",'Company Data'!$CV$2:$CV$537,"NO")</f>
        <v>28</v>
      </c>
      <c r="D32" s="219">
        <f>C32/$C$30</f>
        <v>8.6419753086419748E-2</v>
      </c>
      <c r="E32" s="220"/>
      <c r="F32" s="146">
        <f>AVERAGEIFS('Company Data'!$DA$2:$DA$537,'Company Data'!$CZ$2:$CZ$537,"Yes",'Company Data'!$CV$2:$CV$537,"NO")</f>
        <v>423.39285714285717</v>
      </c>
      <c r="G32" s="147" cm="1">
        <f t="array" ref="G32">MEDIAN(IF('Company Data'!$CZ$2:$CZ$537="Yes",IF('Company Data'!$CV$2:$CV$537="NO",'Company Data'!$DA$2:$DA$537)))</f>
        <v>85</v>
      </c>
      <c r="H32" s="147">
        <f>_xlfn.MINIFS('Company Data'!$DA$2:$DA$537,'Company Data'!$DA$2:$DA$537,"&gt;"&amp;0,'Company Data'!$CZ$2:$CZ$537,"Yes",'Company Data'!$CV$2:$CV$537,"NO")</f>
        <v>1</v>
      </c>
      <c r="I32" s="148">
        <f>_xlfn.MAXIFS('Company Data'!$DA$2:$DA$537,'Company Data'!$CZ$2:$CZ$537,"Yes",'Company Data'!$CV$2:$CV$537,"NO")</f>
        <v>5725</v>
      </c>
      <c r="J32" s="149">
        <f>AVERAGEIFS('Company Data'!$DB$2:$DB$537,'Company Data'!$CZ$2:$CZ$537,"Yes",'Company Data'!$CV$2:$CV$537,"NO")</f>
        <v>478.67857142857144</v>
      </c>
      <c r="K32" s="147" cm="1">
        <f t="array" ref="K32">MEDIAN(IF('Company Data'!$CZ$2:$CZ$537="Yes",IF('Company Data'!$CV$2:$CV$537="NO",'Company Data'!$DB$2:$DB$537)))</f>
        <v>89.5</v>
      </c>
      <c r="L32" s="150">
        <f>_xlfn.MINIFS('Company Data'!$DB$2:$DB$537,'Company Data'!$DB$2:$DB$537,"&gt;"&amp;0,'Company Data'!$CZ$2:$CZ$537,"Yes",'Company Data'!$CV$2:$CV$537,"NO")</f>
        <v>1</v>
      </c>
      <c r="M32" s="151">
        <f>_xlfn.MAXIFS('Company Data'!$DB$2:$DB$537,'Company Data'!$CZ$2:$CZ$537,"Yes",'Company Data'!$CV$2:$CV$537,"NO")</f>
        <v>5641</v>
      </c>
      <c r="N32" s="152">
        <f>AVERAGEIFS('Company Data'!$DD$2:$DD$537,'Company Data'!$CZ$2:$CZ$537,"Yes",'Company Data'!$CV$2:$CV$537,"NO")</f>
        <v>61425274.535714284</v>
      </c>
      <c r="O32" s="147" cm="1">
        <f t="array" ref="O32">MEDIAN(IF('Company Data'!$CZ$2:$CZ$537="Yes",IF('Company Data'!$CV$2:$CV$537="NO",'Company Data'!$DD$2:$DD$537)))</f>
        <v>11326777</v>
      </c>
      <c r="P32" s="150">
        <f>_xlfn.MINIFS('Company Data'!$DD$2:$DD$537,'Company Data'!$DD$2:$DD$537,"&gt;"&amp;0,'Company Data'!$CZ$2:$CZ$537,"Yes",'Company Data'!$CV$2:$CV$537,"NO")</f>
        <v>2081</v>
      </c>
      <c r="Q32" s="151">
        <f>_xlfn.MAXIFS('Company Data'!$DD$2:$DD$537,'Company Data'!$CZ$2:$CZ$537,"Yes",'Company Data'!$CV$2:$CV$537,"NO")</f>
        <v>479519075</v>
      </c>
      <c r="R32" s="152">
        <f>AVERAGEIFS('Company Data'!$DE$2:$DE$537,'Company Data'!$CZ$2:$CZ$537,"Yes",'Company Data'!$CV$2:$CV$537,"NO")</f>
        <v>11416129.571428571</v>
      </c>
      <c r="S32" s="147" cm="1">
        <f t="array" ref="S32">MEDIAN(IF('Company Data'!$CZ$2:$CZ$537="Yes",IF('Company Data'!$CV$2:$CV$537="NO",'Company Data'!$DE$2:$DE$537)))</f>
        <v>3729505</v>
      </c>
      <c r="T32" s="150">
        <f>_xlfn.MINIFS('Company Data'!$DE$2:$DE$537,'Company Data'!$DE$2:$DE$537,"&gt;"&amp;0,'Company Data'!$CZ$2:$CZ$537,"Yes",'Company Data'!$CV$2:$CV$537,"NO")</f>
        <v>1</v>
      </c>
      <c r="U32" s="151">
        <f>_xlfn.MAXIFS('Company Data'!$DE$2:$DE$537,'Company Data'!$CZ$2:$CZ$537,"Yes",'Company Data'!$CV$2:$CV$537,"NO")</f>
        <v>75846044</v>
      </c>
      <c r="V32" s="230"/>
    </row>
    <row r="33" spans="1:22" x14ac:dyDescent="0.25">
      <c r="B33" s="215" t="s">
        <v>5111</v>
      </c>
      <c r="C33" s="154">
        <f>COUNTIFS('Company Data'!$CZ$2:$CZ$537,"Yes",'Company Data'!$CQ$2:$CQ$537,"N")</f>
        <v>75</v>
      </c>
      <c r="D33" s="216">
        <f>C33/$C$29</f>
        <v>0.18796992481203006</v>
      </c>
      <c r="E33" s="217"/>
      <c r="F33" s="153">
        <f>AVERAGEIFS('Company Data'!$DA$2:$DA$537,'Company Data'!$CZ$2:$CZ$537,"Yes",'Company Data'!$CQ$2:$CQ$537,"N")</f>
        <v>10.52</v>
      </c>
      <c r="G33" s="154" cm="1">
        <f t="array" ref="G33">MEDIAN(IF('Company Data'!$CZ$2:$CZ$537="Yes",IF('Company Data'!$CQ$2:$CQ$537="N",'Company Data'!$DA$2:$DA$537)))</f>
        <v>0</v>
      </c>
      <c r="H33" s="154">
        <f>_xlfn.MINIFS('Company Data'!$DA$2:$DA$537,'Company Data'!$DA$2:$DA$537,"&gt;"&amp;0,'Company Data'!$CZ$2:$CZ$537,"Yes",'Company Data'!$CQ$2:$CQ$537,"N")</f>
        <v>1</v>
      </c>
      <c r="I33" s="155">
        <f>_xlfn.MAXIFS('Company Data'!$DA$2:$DA$537,'Company Data'!$CZ$2:$CZ$537,"Yes",'Company Data'!$CQ$2:$CQ$537,"N")</f>
        <v>312</v>
      </c>
      <c r="J33" s="156">
        <f>AVERAGEIFS('Company Data'!$DB$2:$DB$537,'Company Data'!$CZ$2:$CZ$537,"Yes",'Company Data'!$CQ$2:$CQ$537,"N")</f>
        <v>27.48</v>
      </c>
      <c r="K33" s="154" cm="1">
        <f t="array" ref="K33">MEDIAN(IF('Company Data'!$CZ$2:$CZ$537="Yes",IF('Company Data'!$CQ$2:$CQ$537="N",'Company Data'!$DB$2:$DB$537)))</f>
        <v>4</v>
      </c>
      <c r="L33" s="157">
        <f>_xlfn.MINIFS('Company Data'!$DB$2:$DB$537,'Company Data'!$DB$2:$DB$537,"&gt;"&amp;0,'Company Data'!$CZ$2:$CZ$537,"Yes",'Company Data'!$CQ$2:$CQ$537,"N")</f>
        <v>1</v>
      </c>
      <c r="M33" s="158">
        <f>_xlfn.MAXIFS('Company Data'!$DB$2:$DB$537,'Company Data'!$CZ$2:$CZ$537,"Yes",'Company Data'!$CQ$2:$CQ$537,"N")</f>
        <v>370</v>
      </c>
      <c r="N33" s="159">
        <f>AVERAGEIFS('Company Data'!$DD$2:$DD$537,'Company Data'!$CZ$2:$CZ$537,"Yes",'Company Data'!$CQ$2:$CQ$537,"N")</f>
        <v>1685324.0133333334</v>
      </c>
      <c r="O33" s="154" cm="1">
        <f t="array" ref="O33">MEDIAN(IF('Company Data'!$CZ$2:$CZ$537="Yes",IF('Company Data'!$CQ$2:$CQ$537="N",'Company Data'!$DD$2:$DD$537)))</f>
        <v>6934</v>
      </c>
      <c r="P33" s="157">
        <f>_xlfn.MINIFS('Company Data'!$DD$2:$DD$537,'Company Data'!$DD$2:$DD$537,"&gt;"&amp;0,'Company Data'!$CZ$2:$CZ$537,"Yes",'Company Data'!$CQ$2:$CQ$537,"N")</f>
        <v>181</v>
      </c>
      <c r="Q33" s="158">
        <f>_xlfn.MAXIFS('Company Data'!$DD$2:$DD$537,'Company Data'!$CZ$2:$CZ$537,"Yes",'Company Data'!$CQ$2:$CQ$537,"N")</f>
        <v>62799624</v>
      </c>
      <c r="R33" s="159">
        <f>AVERAGEIFS('Company Data'!$DE$2:$DE$537,'Company Data'!$CZ$2:$CZ$537,"Yes",'Company Data'!$CQ$2:$CQ$537,"N")</f>
        <v>406848.24</v>
      </c>
      <c r="S33" s="154" cm="1">
        <f t="array" ref="S33">MEDIAN(IF('Company Data'!$CZ$2:$CZ$537="Yes",IF('Company Data'!$CQ$2:$CQ$537="N",'Company Data'!$DE$2:$DE$537)))</f>
        <v>1490</v>
      </c>
      <c r="T33" s="157">
        <f>_xlfn.MINIFS('Company Data'!$DE$2:$DE$537,'Company Data'!$DE$2:$DE$537,"&gt;"&amp;0,'Company Data'!$CZ$2:$CZ$537,"Yes",'Company Data'!$CQ$2:$CQ$537,"N")</f>
        <v>14</v>
      </c>
      <c r="U33" s="158">
        <f>_xlfn.MAXIFS('Company Data'!$DE$2:$DE$537,'Company Data'!$CZ$2:$CZ$537,"Yes",'Company Data'!$CQ$2:$CQ$537,"N")</f>
        <v>16312313</v>
      </c>
      <c r="V33" s="230"/>
    </row>
    <row r="34" spans="1:22" x14ac:dyDescent="0.25">
      <c r="B34" s="222"/>
      <c r="C34" s="168"/>
      <c r="D34" s="223"/>
      <c r="E34" s="224"/>
      <c r="F34" s="167"/>
      <c r="G34" s="241"/>
      <c r="H34" s="168"/>
      <c r="I34" s="169"/>
      <c r="J34" s="170"/>
      <c r="K34" s="241"/>
      <c r="L34" s="171"/>
      <c r="M34" s="172"/>
      <c r="N34" s="173"/>
      <c r="O34" s="241"/>
      <c r="P34" s="171"/>
      <c r="Q34" s="172"/>
      <c r="R34" s="173"/>
      <c r="S34" s="241"/>
      <c r="T34" s="171"/>
      <c r="U34" s="172"/>
    </row>
    <row r="35" spans="1:22" x14ac:dyDescent="0.25">
      <c r="B35" s="225" t="s">
        <v>5112</v>
      </c>
      <c r="C35" s="175">
        <f>COUNTIFS('Company Data'!$CZ$2:$CZ$537,"Yes",'Company Data'!$CP$2:$CP$537,"Match")</f>
        <v>332</v>
      </c>
      <c r="D35" s="226">
        <f>C35/$C$29</f>
        <v>0.83208020050125309</v>
      </c>
      <c r="E35" s="227"/>
      <c r="F35" s="174">
        <f>AVERAGEIFS('Company Data'!$DA$2:$DA$537,'Company Data'!$CZ$2:$CZ$537,"Yes",'Company Data'!$CP$2:$CP$537,"Match")</f>
        <v>56.894578313253014</v>
      </c>
      <c r="G35" s="175" cm="1">
        <f t="array" ref="G35">MEDIAN(IF('Company Data'!$CZ$2:$CZ$537="Yes",IF('Company Data'!$CP$2:$CP$537="Match",'Company Data'!$DA$2:$DA$537)))</f>
        <v>2</v>
      </c>
      <c r="H35" s="175">
        <f>_xlfn.MINIFS('Company Data'!$DA$2:$DA$537,'Company Data'!$DA$2:$DA$537,"&gt;"&amp;0,'Company Data'!$CZ$2:$CZ$537,"Yes",'Company Data'!$CP$2:$CP$537,"Match")</f>
        <v>1</v>
      </c>
      <c r="I35" s="176">
        <f>_xlfn.MAXIFS('Company Data'!$DA$2:$DA$537,'Company Data'!$CZ$2:$CZ$537,"Yes",'Company Data'!$CP$2:$CP$537,"Match")</f>
        <v>5725</v>
      </c>
      <c r="J35" s="177">
        <f>AVERAGEIFS('Company Data'!$DB$2:$DB$537,'Company Data'!$CZ$2:$CZ$537,"Yes",'Company Data'!$CP$2:$CP$537,"Match")</f>
        <v>88.740963855421683</v>
      </c>
      <c r="K35" s="175" cm="1">
        <f t="array" ref="K35">MEDIAN(IF('Company Data'!$CZ$2:$CZ$537="Yes",IF('Company Data'!$CP$2:$CP$537="Match",'Company Data'!$DB$2:$DB$537)))</f>
        <v>12</v>
      </c>
      <c r="L35" s="178">
        <f>_xlfn.MINIFS('Company Data'!$DB$2:$DB$537,'Company Data'!$DB$2:$DB$537,"&gt;"&amp;0,'Company Data'!$CZ$2:$CZ$537,"Yes",'Company Data'!$CP$2:$CP$537,"Match")</f>
        <v>1</v>
      </c>
      <c r="M35" s="179">
        <f>_xlfn.MAXIFS('Company Data'!$DB$2:$DB$537,'Company Data'!$CZ$2:$CZ$537,"Yes",'Company Data'!$CP$2:$CP$537,"Match")</f>
        <v>5641</v>
      </c>
      <c r="N35" s="180">
        <f>AVERAGEIFS('Company Data'!$DD$2:$DD$537,'Company Data'!$CZ$2:$CZ$537,"Yes",'Company Data'!$CP$2:$CP$537,"Match")</f>
        <v>7368018.5150602413</v>
      </c>
      <c r="O35" s="175" cm="1">
        <f t="array" ref="O35">MEDIAN(IF('Company Data'!$CZ$2:$CZ$537="Yes",IF('Company Data'!$CP$2:$CP$537="Match",'Company Data'!$DD$2:$DD$537)))</f>
        <v>48565.5</v>
      </c>
      <c r="P35" s="178">
        <f>_xlfn.MINIFS('Company Data'!$DD$2:$DD$537,'Company Data'!$DD$2:$DD$537,"&gt;"&amp;0,'Company Data'!$CZ$2:$CZ$537,"Yes",'Company Data'!$CP$2:$CP$537,"Match")</f>
        <v>17</v>
      </c>
      <c r="Q35" s="179">
        <f>_xlfn.MAXIFS('Company Data'!$DD$2:$DD$537,'Company Data'!$CZ$2:$CZ$537,"Yes",'Company Data'!$CP$2:$CP$537,"Match")</f>
        <v>479519075</v>
      </c>
      <c r="R35" s="180">
        <f>AVERAGEIFS('Company Data'!$DE$2:$DE$537,'Company Data'!$CZ$2:$CZ$537,"Yes",'Company Data'!$CP$2:$CP$537,"Match")</f>
        <v>1291944.8042168675</v>
      </c>
      <c r="S35" s="175" cm="1">
        <f t="array" ref="S35">MEDIAN(IF('Company Data'!$CZ$2:$CZ$537="Yes",IF('Company Data'!$CP$2:$CP$537="Match",'Company Data'!$DE$2:$DE$537)))</f>
        <v>9542</v>
      </c>
      <c r="T35" s="178">
        <f>_xlfn.MINIFS('Company Data'!$DE$2:$DE$537,'Company Data'!$DE$2:$DE$537,"&gt;"&amp;0,'Company Data'!$CZ$2:$CZ$537,"Yes",'Company Data'!$CP$2:$CP$537,"Match")</f>
        <v>1</v>
      </c>
      <c r="U35" s="179">
        <f>_xlfn.MAXIFS('Company Data'!$DE$2:$DE$537,'Company Data'!$CZ$2:$CZ$537,"Yes",'Company Data'!$CP$2:$CP$537,"Match")</f>
        <v>75846044</v>
      </c>
    </row>
    <row r="36" spans="1:22" x14ac:dyDescent="0.25">
      <c r="B36" s="225" t="s">
        <v>5113</v>
      </c>
      <c r="C36" s="175">
        <f>COUNTIFS('Company Data'!$CZ$2:$CZ$537,"Yes",'Company Data'!$CP$2:$CP$537,"Name Only Match")</f>
        <v>21</v>
      </c>
      <c r="D36" s="226">
        <f>C36/$C$29</f>
        <v>5.2631578947368418E-2</v>
      </c>
      <c r="E36" s="227"/>
      <c r="F36" s="174">
        <f>AVERAGEIFS('Company Data'!$DA$2:$DA$537,'Company Data'!$CZ$2:$CZ$537,"Yes",'Company Data'!$CP$2:$CP$537,"Name Only Match")</f>
        <v>12.619047619047619</v>
      </c>
      <c r="G36" s="175" cm="1">
        <f t="array" ref="G36">MEDIAN(IF('Company Data'!$CZ$2:$CZ$537="Yes",IF('Company Data'!$CP$2:$CP$537="Name Only Match",'Company Data'!$DA$2:$DA$537)))</f>
        <v>0</v>
      </c>
      <c r="H36" s="175">
        <f>_xlfn.MINIFS('Company Data'!$DA$2:$DA$537,'Company Data'!$DA$2:$DA$537,"&gt;"&amp;0,'Company Data'!$CZ$2:$CZ$537,"Yes",'Company Data'!$CP$2:$CP$537,"Name Only Match")</f>
        <v>1</v>
      </c>
      <c r="I36" s="176">
        <f>_xlfn.MAXIFS('Company Data'!$DA$2:$DA$537,'Company Data'!$CZ$2:$CZ$537,"Yes",'Company Data'!$CP$2:$CP$537,"Name Only Match")</f>
        <v>251</v>
      </c>
      <c r="J36" s="177">
        <f>AVERAGEIFS('Company Data'!$DB$2:$DB$537,'Company Data'!$CZ$2:$CZ$537,"Yes",'Company Data'!$CP$2:$CP$537,"Name Only Match")</f>
        <v>17.285714285714285</v>
      </c>
      <c r="K36" s="175" cm="1">
        <f t="array" ref="K36">MEDIAN(IF('Company Data'!$CZ$2:$CZ$537="Yes",IF('Company Data'!$CP$2:$CP$537="Name Only Match",'Company Data'!$DB$2:$DB$537)))</f>
        <v>3</v>
      </c>
      <c r="L36" s="178">
        <f>_xlfn.MINIFS('Company Data'!$DB$2:$DB$537,'Company Data'!$DB$2:$DB$537,"&gt;"&amp;0,'Company Data'!$CZ$2:$CZ$537,"Yes",'Company Data'!$CP$2:$CP$537,"Name Only Match")</f>
        <v>1</v>
      </c>
      <c r="M36" s="179">
        <f>_xlfn.MAXIFS('Company Data'!$DB$2:$DB$537,'Company Data'!$CZ$2:$CZ$537,"Yes",'Company Data'!$CP$2:$CP$537,"Name Only Match")</f>
        <v>148</v>
      </c>
      <c r="N36" s="180">
        <f>AVERAGEIFS('Company Data'!$DD$2:$DD$537,'Company Data'!$CZ$2:$CZ$537,"Yes",'Company Data'!$CP$2:$CP$537,"Name Only Match")</f>
        <v>2998351.7619047621</v>
      </c>
      <c r="O36" s="175" cm="1">
        <f t="array" ref="O36">MEDIAN(IF('Company Data'!$CZ$2:$CZ$537="Yes",IF('Company Data'!$CP$2:$CP$537="Name Only Match",'Company Data'!$DD$2:$DD$537)))</f>
        <v>444</v>
      </c>
      <c r="P36" s="178">
        <f>_xlfn.MINIFS('Company Data'!$DD$2:$DD$537,'Company Data'!$DD$2:$DD$537,"&gt;"&amp;0,'Company Data'!$CZ$2:$CZ$537,"Yes",'Company Data'!$CP$2:$CP$537,"Name Only Match")</f>
        <v>181</v>
      </c>
      <c r="Q36" s="179">
        <f>_xlfn.MAXIFS('Company Data'!$DD$2:$DD$537,'Company Data'!$CZ$2:$CZ$537,"Yes",'Company Data'!$CP$2:$CP$537,"Name Only Match")</f>
        <v>62799624</v>
      </c>
      <c r="R36" s="180">
        <f>AVERAGEIFS('Company Data'!$DE$2:$DE$537,'Company Data'!$CZ$2:$CZ$537,"Yes",'Company Data'!$CP$2:$CP$537,"Name Only Match")</f>
        <v>778813.42857142852</v>
      </c>
      <c r="S36" s="175" cm="1">
        <f t="array" ref="S36">MEDIAN(IF('Company Data'!$CZ$2:$CZ$537="Yes",IF('Company Data'!$CP$2:$CP$537="Name Only Match",'Company Data'!$DE$2:$DE$537)))</f>
        <v>1042</v>
      </c>
      <c r="T36" s="178">
        <f>_xlfn.MINIFS('Company Data'!$DE$2:$DE$537,'Company Data'!$DE$2:$DE$537,"&gt;"&amp;0,'Company Data'!$CZ$2:$CZ$537,"Yes",'Company Data'!$CP$2:$CP$537,"Name Only Match")</f>
        <v>135</v>
      </c>
      <c r="U36" s="179">
        <f>_xlfn.MAXIFS('Company Data'!$DE$2:$DE$537,'Company Data'!$CZ$2:$CZ$537,"Yes",'Company Data'!$CP$2:$CP$537,"Name Only Match")</f>
        <v>16312313</v>
      </c>
    </row>
    <row r="37" spans="1:22" x14ac:dyDescent="0.25">
      <c r="B37" s="225" t="s">
        <v>5114</v>
      </c>
      <c r="C37" s="175">
        <f>COUNTIFS('Company Data'!$CZ$2:$CZ$537,"Yes",'Company Data'!$CP$2:$CP$537,"No Match")</f>
        <v>46</v>
      </c>
      <c r="D37" s="226">
        <f>C37/$C$29</f>
        <v>0.11528822055137844</v>
      </c>
      <c r="E37" s="227"/>
      <c r="F37" s="174">
        <f>AVERAGEIFS('Company Data'!$DA$2:$DA$537,'Company Data'!$CZ$2:$CZ$537,"Yes",'Company Data'!$CP$2:$CP$537,"No Match")</f>
        <v>9.7608695652173907</v>
      </c>
      <c r="G37" s="175" cm="1">
        <f t="array" ref="G37">MEDIAN(IF('Company Data'!$CZ$2:$CZ$537="Yes",IF('Company Data'!$CP$2:$CP$537="No Match",'Company Data'!$DA$2:$DA$537)))</f>
        <v>0</v>
      </c>
      <c r="H37" s="175">
        <f>_xlfn.MINIFS('Company Data'!$DA$2:$DA$537,'Company Data'!$DA$2:$DA$537,"&gt;"&amp;0,'Company Data'!$CZ$2:$CZ$537,"Yes",'Company Data'!$CP$2:$CP$537,"No Match")</f>
        <v>1</v>
      </c>
      <c r="I37" s="176">
        <f>_xlfn.MAXIFS('Company Data'!$DA$2:$DA$537,'Company Data'!$CZ$2:$CZ$537,"Yes",'Company Data'!$CP$2:$CP$537,"No Match")</f>
        <v>312</v>
      </c>
      <c r="J37" s="177">
        <f>AVERAGEIFS('Company Data'!$DB$2:$DB$537,'Company Data'!$CZ$2:$CZ$537,"Yes",'Company Data'!$CP$2:$CP$537,"No Match")</f>
        <v>31.260869565217391</v>
      </c>
      <c r="K37" s="175" cm="1">
        <f t="array" ref="K37">MEDIAN(IF('Company Data'!$CZ$2:$CZ$537="Yes",IF('Company Data'!$CP$2:$CP$537="No Match",'Company Data'!$DB$2:$DB$537)))</f>
        <v>4</v>
      </c>
      <c r="L37" s="178">
        <f>_xlfn.MINIFS('Company Data'!$DB$2:$DB$537,'Company Data'!$DB$2:$DB$537,"&gt;"&amp;0,'Company Data'!$CZ$2:$CZ$537,"Yes",'Company Data'!$CP$2:$CP$537,"No Match")</f>
        <v>1</v>
      </c>
      <c r="M37" s="179">
        <f>_xlfn.MAXIFS('Company Data'!$DB$2:$DB$537,'Company Data'!$CZ$2:$CZ$537,"Yes",'Company Data'!$CP$2:$CP$537,"No Match")</f>
        <v>370</v>
      </c>
      <c r="N37" s="180">
        <f>AVERAGEIFS('Company Data'!$DD$2:$DD$537,'Company Data'!$CZ$2:$CZ$537,"Yes",'Company Data'!$CP$2:$CP$537,"No Match")</f>
        <v>1284672.2173913044</v>
      </c>
      <c r="O37" s="175" cm="1">
        <f t="array" ref="O37">MEDIAN(IF('Company Data'!$CZ$2:$CZ$537="Yes",IF('Company Data'!$CP$2:$CP$537="No Match",'Company Data'!$DD$2:$DD$537)))</f>
        <v>7204.5</v>
      </c>
      <c r="P37" s="178">
        <f>_xlfn.MINIFS('Company Data'!$DD$2:$DD$537,'Company Data'!$DD$2:$DD$537,"&gt;"&amp;0,'Company Data'!$CZ$2:$CZ$537,"Yes",'Company Data'!$CP$2:$CP$537,"No Match")</f>
        <v>181</v>
      </c>
      <c r="Q37" s="179">
        <f>_xlfn.MAXIFS('Company Data'!$DD$2:$DD$537,'Company Data'!$CZ$2:$CZ$537,"Yes",'Company Data'!$CP$2:$CP$537,"No Match")</f>
        <v>51211785</v>
      </c>
      <c r="R37" s="180">
        <f>AVERAGEIFS('Company Data'!$DE$2:$DE$537,'Company Data'!$CZ$2:$CZ$537,"Yes",'Company Data'!$CP$2:$CP$537,"No Match")</f>
        <v>305889.65217391303</v>
      </c>
      <c r="S37" s="175" cm="1">
        <f t="array" ref="S37">MEDIAN(IF('Company Data'!$CZ$2:$CZ$537="Yes",IF('Company Data'!$CP$2:$CP$537="No Match",'Company Data'!$DE$2:$DE$537)))</f>
        <v>1308</v>
      </c>
      <c r="T37" s="178">
        <f>_xlfn.MINIFS('Company Data'!$DE$2:$DE$537,'Company Data'!$DE$2:$DE$537,"&gt;"&amp;0,'Company Data'!$CZ$2:$CZ$537,"Yes",'Company Data'!$CP$2:$CP$537,"No Match")</f>
        <v>14</v>
      </c>
      <c r="U37" s="179">
        <f>_xlfn.MAXIFS('Company Data'!$DE$2:$DE$537,'Company Data'!$CZ$2:$CZ$537,"Yes",'Company Data'!$CP$2:$CP$537,"No Match")</f>
        <v>13572159</v>
      </c>
      <c r="V37" s="230"/>
    </row>
    <row r="38" spans="1:22" x14ac:dyDescent="0.25">
      <c r="B38" s="228"/>
      <c r="C38" s="168"/>
      <c r="D38" s="223"/>
      <c r="E38" s="229"/>
      <c r="F38" s="167"/>
      <c r="G38" s="241"/>
      <c r="H38" s="168"/>
      <c r="I38" s="169"/>
      <c r="J38" s="170"/>
      <c r="K38" s="242"/>
      <c r="L38" s="171"/>
      <c r="M38" s="172"/>
      <c r="N38" s="173"/>
      <c r="O38" s="171"/>
      <c r="P38" s="171"/>
      <c r="Q38" s="172"/>
      <c r="R38" s="173"/>
      <c r="S38" s="171"/>
      <c r="T38" s="171"/>
      <c r="U38" s="172"/>
    </row>
    <row r="39" spans="1:22" ht="15.75" thickBot="1" x14ac:dyDescent="0.3">
      <c r="A39"/>
      <c r="B39" s="206" t="s">
        <v>5109</v>
      </c>
      <c r="C39" s="207">
        <f>COUNTIF('Company Data'!$CZ$2:$CZ$537,"No")</f>
        <v>136</v>
      </c>
      <c r="D39" s="208">
        <f>C39/$C$28</f>
        <v>0.25420560747663551</v>
      </c>
      <c r="E39" s="209"/>
      <c r="F39" s="181" t="s">
        <v>5104</v>
      </c>
      <c r="G39" s="182"/>
      <c r="H39" s="182" t="s">
        <v>5104</v>
      </c>
      <c r="I39" s="183" t="s">
        <v>5104</v>
      </c>
      <c r="J39" s="181" t="s">
        <v>5104</v>
      </c>
      <c r="K39" s="182"/>
      <c r="L39" s="182" t="s">
        <v>5104</v>
      </c>
      <c r="M39" s="183" t="s">
        <v>5104</v>
      </c>
      <c r="N39" s="181" t="s">
        <v>5104</v>
      </c>
      <c r="O39" s="182"/>
      <c r="P39" s="182" t="s">
        <v>5104</v>
      </c>
      <c r="Q39" s="183" t="s">
        <v>5104</v>
      </c>
      <c r="R39" s="181" t="s">
        <v>5104</v>
      </c>
      <c r="S39" s="182"/>
      <c r="T39" s="182" t="s">
        <v>5104</v>
      </c>
      <c r="U39" s="183" t="s">
        <v>5104</v>
      </c>
    </row>
    <row r="40" spans="1:22" ht="17.25" x14ac:dyDescent="0.25">
      <c r="B40" s="243" t="s">
        <v>5149</v>
      </c>
    </row>
    <row r="41" spans="1:22" ht="17.25" x14ac:dyDescent="0.25">
      <c r="B41" s="28" t="s">
        <v>5150</v>
      </c>
    </row>
    <row r="42" spans="1:22" ht="17.25" x14ac:dyDescent="0.25">
      <c r="B42" s="28" t="s">
        <v>5205</v>
      </c>
    </row>
  </sheetData>
  <mergeCells count="4">
    <mergeCell ref="F26:I26"/>
    <mergeCell ref="R26:U26"/>
    <mergeCell ref="N26:Q26"/>
    <mergeCell ref="J26:M26"/>
  </mergeCells>
  <pageMargins left="0.7" right="0.7" top="0.75" bottom="0.75" header="0.3" footer="0.3"/>
  <pageSetup orientation="portrait" horizontalDpi="360" verticalDpi="360"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FBF5AD-60F1-4BBC-B6DB-EC23043AECAA}">
  <dimension ref="A1:BB407"/>
  <sheetViews>
    <sheetView topLeftCell="N1" workbookViewId="0">
      <pane ySplit="8" topLeftCell="A9" activePane="bottomLeft" state="frozen"/>
      <selection pane="bottomLeft" activeCell="F6" sqref="F6"/>
    </sheetView>
  </sheetViews>
  <sheetFormatPr defaultRowHeight="15" x14ac:dyDescent="0.25"/>
  <cols>
    <col min="1" max="1" width="12.85546875" customWidth="1"/>
    <col min="5" max="5" width="10.7109375" bestFit="1" customWidth="1"/>
    <col min="6" max="6" width="11.42578125" customWidth="1"/>
    <col min="28" max="28" width="11.5703125" customWidth="1"/>
    <col min="29" max="33" width="10.7109375" bestFit="1" customWidth="1"/>
    <col min="35" max="35" width="11.5703125" bestFit="1" customWidth="1"/>
    <col min="36" max="40" width="10.7109375" bestFit="1" customWidth="1"/>
    <col min="42" max="42" width="11.5703125" bestFit="1" customWidth="1"/>
    <col min="43" max="47" width="10.7109375" bestFit="1" customWidth="1"/>
    <col min="49" max="49" width="11.5703125" bestFit="1" customWidth="1"/>
    <col min="50" max="54" width="10.7109375" bestFit="1" customWidth="1"/>
  </cols>
  <sheetData>
    <row r="1" spans="1:54" x14ac:dyDescent="0.25">
      <c r="A1" s="191" t="s">
        <v>5116</v>
      </c>
      <c r="B1" s="191"/>
      <c r="C1" s="191" t="s">
        <v>5117</v>
      </c>
      <c r="D1" s="191" t="s">
        <v>5124</v>
      </c>
      <c r="E1" s="191" t="str">
        <f>"'Company Data'!"&amp;D1&amp;"2:"&amp;D1&amp;537</f>
        <v>'Company Data'!CZ2:CZ537</v>
      </c>
    </row>
    <row r="2" spans="1:54" x14ac:dyDescent="0.25">
      <c r="A2" s="191" t="s">
        <v>5118</v>
      </c>
      <c r="B2" s="191"/>
      <c r="C2" s="191" t="s">
        <v>5119</v>
      </c>
      <c r="D2" s="191" t="s">
        <v>5125</v>
      </c>
      <c r="E2" s="191" t="str">
        <f>"'Company Data'!"&amp;D2&amp;"2:"&amp;D2&amp;537</f>
        <v>'Company Data'!CQ2:CQ537</v>
      </c>
    </row>
    <row r="3" spans="1:54" x14ac:dyDescent="0.25">
      <c r="A3" s="191" t="s">
        <v>5120</v>
      </c>
      <c r="B3" s="191"/>
      <c r="C3" s="191" t="s">
        <v>5121</v>
      </c>
      <c r="D3" s="191" t="s">
        <v>5126</v>
      </c>
      <c r="E3" s="191" t="str">
        <f>"'Company Data'!"&amp;D3&amp;"2:"&amp;D3&amp;537</f>
        <v>'Company Data'!CV2:CV537</v>
      </c>
    </row>
    <row r="4" spans="1:54" x14ac:dyDescent="0.25">
      <c r="A4" s="191" t="s">
        <v>5122</v>
      </c>
      <c r="B4" s="191"/>
      <c r="C4" s="191" t="s">
        <v>5123</v>
      </c>
      <c r="D4" s="191" t="s">
        <v>5127</v>
      </c>
      <c r="E4" s="191" t="str">
        <f>"'Company Data'!"&amp;D4&amp;"2:"&amp;D4&amp;537</f>
        <v>'Company Data'!CP2:CP537</v>
      </c>
    </row>
    <row r="6" spans="1:54" x14ac:dyDescent="0.25">
      <c r="A6" s="22" t="s">
        <v>5116</v>
      </c>
      <c r="D6" s="22">
        <f>COUNTA(A9:A611)</f>
        <v>399</v>
      </c>
      <c r="F6" s="22" t="s">
        <v>5128</v>
      </c>
      <c r="I6" s="22">
        <f>COUNTA(F9:F611)</f>
        <v>324</v>
      </c>
      <c r="K6" s="22" t="s">
        <v>5129</v>
      </c>
      <c r="N6" s="22">
        <f>COUNTA(K9:K611)</f>
        <v>299</v>
      </c>
      <c r="P6" s="22" t="s">
        <v>5130</v>
      </c>
      <c r="S6" s="22">
        <f>COUNTA(P9:P611)</f>
        <v>25</v>
      </c>
      <c r="U6" s="22" t="s">
        <v>5131</v>
      </c>
      <c r="X6" s="22">
        <f>COUNTA(U9:U611)</f>
        <v>46</v>
      </c>
    </row>
    <row r="7" spans="1:54" x14ac:dyDescent="0.25">
      <c r="A7" s="191" t="s">
        <v>5132</v>
      </c>
      <c r="B7" s="191"/>
      <c r="C7" s="191"/>
      <c r="D7" s="191"/>
      <c r="E7" s="191"/>
      <c r="F7" s="191" t="s">
        <v>5133</v>
      </c>
      <c r="G7" s="191"/>
      <c r="H7" s="191"/>
      <c r="I7" s="191"/>
      <c r="J7" s="191"/>
      <c r="K7" s="191" t="s">
        <v>5134</v>
      </c>
      <c r="L7" s="191"/>
      <c r="M7" s="191"/>
      <c r="N7" s="191"/>
      <c r="O7" s="191"/>
      <c r="P7" s="191" t="s">
        <v>5135</v>
      </c>
      <c r="Q7" s="191"/>
      <c r="R7" s="191"/>
      <c r="S7" s="191"/>
      <c r="T7" s="191"/>
      <c r="U7" s="191" t="s">
        <v>5136</v>
      </c>
      <c r="V7" s="192"/>
      <c r="W7" s="192"/>
      <c r="X7" s="192"/>
      <c r="AC7">
        <f>$D$6</f>
        <v>399</v>
      </c>
      <c r="AD7">
        <f>$I$6</f>
        <v>324</v>
      </c>
      <c r="AE7">
        <f>$N$6</f>
        <v>299</v>
      </c>
      <c r="AF7">
        <f>$S$6</f>
        <v>25</v>
      </c>
      <c r="AG7">
        <f>$X$6</f>
        <v>46</v>
      </c>
      <c r="AJ7">
        <f>$D$6</f>
        <v>399</v>
      </c>
      <c r="AK7">
        <f>$I$6</f>
        <v>324</v>
      </c>
      <c r="AL7">
        <f>$N$6</f>
        <v>299</v>
      </c>
      <c r="AM7">
        <f>$S$6</f>
        <v>25</v>
      </c>
      <c r="AN7">
        <f>$X$6</f>
        <v>46</v>
      </c>
      <c r="AQ7">
        <f>$D$6</f>
        <v>399</v>
      </c>
      <c r="AR7">
        <f>$I$6</f>
        <v>324</v>
      </c>
      <c r="AS7">
        <f>$N$6</f>
        <v>299</v>
      </c>
      <c r="AT7">
        <f>$S$6</f>
        <v>25</v>
      </c>
      <c r="AU7">
        <f>$X$6</f>
        <v>46</v>
      </c>
      <c r="AX7">
        <f>$D$6</f>
        <v>399</v>
      </c>
      <c r="AY7">
        <f>$I$6</f>
        <v>324</v>
      </c>
      <c r="AZ7">
        <f>$N$6</f>
        <v>299</v>
      </c>
      <c r="BA7">
        <f>$S$6</f>
        <v>25</v>
      </c>
      <c r="BB7">
        <f>$X$6</f>
        <v>46</v>
      </c>
    </row>
    <row r="8" spans="1:54" ht="90" x14ac:dyDescent="0.25">
      <c r="A8" s="188" t="s">
        <v>4467</v>
      </c>
      <c r="B8" s="188" t="s">
        <v>4468</v>
      </c>
      <c r="C8" s="188" t="s">
        <v>4469</v>
      </c>
      <c r="D8" s="188" t="s">
        <v>4470</v>
      </c>
      <c r="F8" s="188" t="s">
        <v>4467</v>
      </c>
      <c r="G8" s="188" t="s">
        <v>4468</v>
      </c>
      <c r="H8" s="188" t="s">
        <v>4469</v>
      </c>
      <c r="I8" s="188" t="s">
        <v>4470</v>
      </c>
      <c r="K8" s="188" t="s">
        <v>4467</v>
      </c>
      <c r="L8" s="188" t="s">
        <v>4468</v>
      </c>
      <c r="M8" s="188" t="s">
        <v>4469</v>
      </c>
      <c r="N8" s="188" t="s">
        <v>4470</v>
      </c>
      <c r="P8" s="188" t="s">
        <v>4467</v>
      </c>
      <c r="Q8" s="188" t="s">
        <v>4468</v>
      </c>
      <c r="R8" s="188" t="s">
        <v>4469</v>
      </c>
      <c r="S8" s="188" t="s">
        <v>4470</v>
      </c>
      <c r="U8" s="188" t="s">
        <v>4467</v>
      </c>
      <c r="V8" s="188" t="s">
        <v>4468</v>
      </c>
      <c r="W8" s="188" t="s">
        <v>4469</v>
      </c>
      <c r="X8" s="188" t="s">
        <v>4470</v>
      </c>
      <c r="AB8" s="194" t="s">
        <v>5143</v>
      </c>
      <c r="AC8" s="193" t="s">
        <v>5138</v>
      </c>
      <c r="AD8" s="193" t="s">
        <v>5139</v>
      </c>
      <c r="AE8" s="193" t="s">
        <v>5140</v>
      </c>
      <c r="AF8" s="193" t="s">
        <v>5141</v>
      </c>
      <c r="AG8" s="193" t="s">
        <v>5142</v>
      </c>
      <c r="AI8" s="195" t="s">
        <v>5144</v>
      </c>
      <c r="AJ8" s="196" t="s">
        <v>5138</v>
      </c>
      <c r="AK8" s="196" t="s">
        <v>5139</v>
      </c>
      <c r="AL8" s="196" t="s">
        <v>5140</v>
      </c>
      <c r="AM8" s="196" t="s">
        <v>5141</v>
      </c>
      <c r="AN8" s="196" t="s">
        <v>5142</v>
      </c>
      <c r="AP8" s="197" t="s">
        <v>5145</v>
      </c>
      <c r="AQ8" s="198" t="s">
        <v>5138</v>
      </c>
      <c r="AR8" s="198" t="s">
        <v>5139</v>
      </c>
      <c r="AS8" s="198" t="s">
        <v>5140</v>
      </c>
      <c r="AT8" s="198" t="s">
        <v>5141</v>
      </c>
      <c r="AU8" s="198" t="s">
        <v>5142</v>
      </c>
      <c r="AV8" s="199"/>
      <c r="AW8" s="200" t="s">
        <v>5146</v>
      </c>
      <c r="AX8" s="201" t="s">
        <v>5138</v>
      </c>
      <c r="AY8" s="201" t="s">
        <v>5139</v>
      </c>
      <c r="AZ8" s="201" t="s">
        <v>5140</v>
      </c>
      <c r="BA8" s="201" t="s">
        <v>5141</v>
      </c>
      <c r="BB8" s="201" t="s">
        <v>5142</v>
      </c>
    </row>
    <row r="9" spans="1:54" x14ac:dyDescent="0.25">
      <c r="A9" s="189">
        <v>9</v>
      </c>
      <c r="B9">
        <v>6</v>
      </c>
      <c r="C9">
        <v>86425</v>
      </c>
      <c r="D9">
        <v>69144</v>
      </c>
      <c r="F9" s="189">
        <v>9</v>
      </c>
      <c r="G9">
        <v>6</v>
      </c>
      <c r="H9">
        <v>86425</v>
      </c>
      <c r="I9">
        <v>69144</v>
      </c>
      <c r="K9" s="189">
        <v>9</v>
      </c>
      <c r="L9">
        <v>6</v>
      </c>
      <c r="M9">
        <v>86425</v>
      </c>
      <c r="N9">
        <v>69144</v>
      </c>
      <c r="P9" s="189">
        <v>599</v>
      </c>
      <c r="Q9">
        <v>1737</v>
      </c>
      <c r="R9">
        <v>51440989</v>
      </c>
      <c r="S9">
        <v>11909376</v>
      </c>
      <c r="U9" s="189">
        <v>5</v>
      </c>
      <c r="V9">
        <v>0</v>
      </c>
      <c r="W9">
        <v>0</v>
      </c>
      <c r="X9">
        <v>2085</v>
      </c>
      <c r="AB9" s="100">
        <v>0</v>
      </c>
      <c r="AC9" s="190">
        <f>COUNTIF($A$9:$A$600,$AB9)/$AC$7</f>
        <v>0.35338345864661652</v>
      </c>
      <c r="AD9" s="190">
        <f>COUNTIF($F$9:$F$600,$AB$9)/$AD$7</f>
        <v>0.29938271604938271</v>
      </c>
      <c r="AE9" s="190">
        <f>COUNTIF($K$9:$K$600,$AB$9)/$AE$7</f>
        <v>0.31772575250836121</v>
      </c>
      <c r="AF9" s="190">
        <f>COUNTIF($P$9:$P$600,$AB$9)/$AF$7</f>
        <v>0.08</v>
      </c>
      <c r="AG9" s="190">
        <f>COUNTIF($U$9:$U$600,$AB$9)/$AG$7</f>
        <v>0.63043478260869568</v>
      </c>
      <c r="AI9" s="100">
        <v>0</v>
      </c>
      <c r="AJ9" s="190">
        <f>COUNTIF($B$9:$B$600,$AI9)/$AJ$7</f>
        <v>7.2681704260651625E-2</v>
      </c>
      <c r="AK9" s="190">
        <f>COUNTIF($G$9:$G$600,$AI$9)/$AK$7</f>
        <v>8.0246913580246909E-2</v>
      </c>
      <c r="AL9" s="190">
        <f>COUNTIF($L$9:$L$600,$AI$9)/$AL$7</f>
        <v>7.6923076923076927E-2</v>
      </c>
      <c r="AM9" s="190">
        <f>COUNTIF($Q$9:$Q$600,$AI$9)/$AM$7</f>
        <v>0.12</v>
      </c>
      <c r="AN9" s="190">
        <f>COUNTIF($U$9:$U$600,$AI$9)/$AN$7</f>
        <v>0.63043478260869568</v>
      </c>
      <c r="AP9" s="187">
        <v>0</v>
      </c>
      <c r="AQ9" s="190">
        <f>COUNTIF($C$9:$C$600,$AP9)/$AQ$7</f>
        <v>0.19799498746867167</v>
      </c>
      <c r="AR9" s="190">
        <f>COUNTIF($H$9:$H$600,$AP$9)/$AR$7</f>
        <v>0.16666666666666666</v>
      </c>
      <c r="AS9" s="190">
        <f>COUNTIF($M$9:$M$600,$AP$9)/$AS$7</f>
        <v>0.17725752508361203</v>
      </c>
      <c r="AT9" s="190">
        <f>COUNTIF($R$9:$R$600,$AP$9)/$AT$7</f>
        <v>0.04</v>
      </c>
      <c r="AU9" s="190">
        <f>COUNTIF($V$9:$V$600,$AP$9)/$AU$7</f>
        <v>4.3478260869565216E-2</v>
      </c>
      <c r="AW9" s="187">
        <v>0</v>
      </c>
      <c r="AX9" s="190">
        <f>COUNTIF($D$9:$D$600,$AW9)/$AX$7</f>
        <v>0.10275689223057644</v>
      </c>
      <c r="AY9" s="190">
        <f>COUNTIF($I$9:$I$600,$AW$9)/$AY$7</f>
        <v>8.6419753086419748E-2</v>
      </c>
      <c r="AZ9" s="190">
        <f>COUNTIF($N$9:$N$600,$AW$9)/$AZ$7</f>
        <v>9.3645484949832769E-2</v>
      </c>
      <c r="BA9" s="190">
        <f>COUNTIF($S$9:$S$600,$AW$9)/$BA$7</f>
        <v>0</v>
      </c>
      <c r="BB9" s="190">
        <f>COUNTIF($W$9:$W$600,$AW$9)/$BB$7</f>
        <v>0.34782608695652173</v>
      </c>
    </row>
    <row r="10" spans="1:54" x14ac:dyDescent="0.25">
      <c r="A10">
        <v>1</v>
      </c>
      <c r="B10">
        <v>5</v>
      </c>
      <c r="C10">
        <v>32051</v>
      </c>
      <c r="D10">
        <v>22928</v>
      </c>
      <c r="F10">
        <v>1</v>
      </c>
      <c r="G10">
        <v>5</v>
      </c>
      <c r="H10">
        <v>32051</v>
      </c>
      <c r="I10">
        <v>22928</v>
      </c>
      <c r="K10">
        <v>1</v>
      </c>
      <c r="L10">
        <v>5</v>
      </c>
      <c r="M10">
        <v>32051</v>
      </c>
      <c r="N10">
        <v>22928</v>
      </c>
      <c r="P10">
        <v>70</v>
      </c>
      <c r="Q10">
        <v>114</v>
      </c>
      <c r="R10">
        <v>5212447</v>
      </c>
      <c r="S10">
        <v>851328</v>
      </c>
      <c r="U10">
        <v>1</v>
      </c>
      <c r="V10">
        <v>4</v>
      </c>
      <c r="W10">
        <v>40281</v>
      </c>
      <c r="X10">
        <v>1278</v>
      </c>
      <c r="AB10" s="100">
        <v>1</v>
      </c>
      <c r="AC10" s="190">
        <f t="shared" ref="AC10:AC29" si="0">COUNTIFS($A$9:$A$600,"&lt;="&amp;$AB10,$A$9:$A$600,"&gt;"&amp;$AB9)/$AC$7</f>
        <v>0.13784461152882205</v>
      </c>
      <c r="AD10" s="190">
        <f t="shared" ref="AD10:AD29" si="1">COUNTIFS($F$9:$F$600,"&lt;="&amp;$AB10,$F$9:$F$600,"&gt;"&amp;$AB9)/$AD$7</f>
        <v>0.1388888888888889</v>
      </c>
      <c r="AE10" s="190">
        <f t="shared" ref="AE10:AE29" si="2">COUNTIFS($K$9:$K$600,"&lt;="&amp;$AB10,$K$9:$K$600,"&gt;"&amp;$AB9)/$AE$7</f>
        <v>0.14381270903010032</v>
      </c>
      <c r="AF10" s="190">
        <f t="shared" ref="AF10:AF29" si="3">COUNTIFS($P$9:$P$600,"&lt;="&amp;$AB10,$P$9:$P$600,"&gt;"&amp;$AB9)/$AF$7</f>
        <v>0.08</v>
      </c>
      <c r="AG10" s="190">
        <f t="shared" ref="AG10:AG29" si="4">COUNTIFS($U$9:$U$600,"&lt;="&amp;$AB10,$U$9:$U$600,"&gt;"&amp;$AB9)/$AG$7</f>
        <v>0.10869565217391304</v>
      </c>
      <c r="AI10" s="100">
        <v>1</v>
      </c>
      <c r="AJ10" s="190">
        <f t="shared" ref="AJ10:AJ29" si="5">COUNTIFS($B$9:$B$600,"&lt;="&amp;$AI10,$B$9:$B$600,"&gt;"&amp;$AI9)/$AJ$7</f>
        <v>0.13032581453634084</v>
      </c>
      <c r="AK10" s="190">
        <f t="shared" ref="AK10:AK29" si="6">COUNTIFS($G$9:$G$600,"&lt;="&amp;$AI10,$G$9:$G$600,"&gt;"&amp;$AI9)/$AK$7</f>
        <v>0.1111111111111111</v>
      </c>
      <c r="AL10" s="190">
        <f t="shared" ref="AL10:AL29" si="7">COUNTIFS($L$9:$L$600,"&lt;="&amp;$AI10,$L$9:$L$600,"&gt;"&amp;$AI9)/$AL$7</f>
        <v>0.11371237458193979</v>
      </c>
      <c r="AM10" s="190">
        <f t="shared" ref="AM10:AM29" si="8">COUNTIFS($Q$9:$Q$600,"&lt;="&amp;$AI10,$Q$9:$Q$600,"&gt;"&amp;$AI9)/$AM$7</f>
        <v>0.08</v>
      </c>
      <c r="AN10" s="190">
        <f t="shared" ref="AN10:AN29" si="9">COUNTIFS($U$9:$U$600,"&lt;="&amp;$AI10,$U$9:$U$600,"&gt;"&amp;$AI9)/$AN$7</f>
        <v>0.10869565217391304</v>
      </c>
      <c r="AP10" s="187">
        <v>100</v>
      </c>
      <c r="AQ10" s="190">
        <f t="shared" ref="AQ10:AQ25" si="10">COUNTIFS($C$9:$C$600,"&lt;="&amp;$AP10,$C$9:$C$600,"&gt;"&amp;$AP9)/$AQ$7</f>
        <v>7.5187969924812026E-3</v>
      </c>
      <c r="AR10" s="190">
        <f t="shared" ref="AR10:AR25" si="11">COUNTIFS($H$9:$H$600,"&lt;="&amp;$AP10,$H$9:$H$600,"&gt;"&amp;$AP9)/$AR$7</f>
        <v>9.2592592592592587E-3</v>
      </c>
      <c r="AS10" s="190">
        <f t="shared" ref="AS10:AS25" si="12">COUNTIFS($M$9:$M$600,"&lt;="&amp;$AP10,$M$9:$M$600,"&gt;"&amp;$AP9)/$AS$7</f>
        <v>1.0033444816053512E-2</v>
      </c>
      <c r="AT10" s="190">
        <f t="shared" ref="AT10:AT25" si="13">COUNTIFS($R$9:$R$600,"&lt;="&amp;$AP10,$R$9:$R$600,"&gt;"&amp;$AP9)/$AT$7</f>
        <v>0</v>
      </c>
      <c r="AU10" s="190">
        <f t="shared" ref="AU10:AU25" si="14">COUNTIFS($V$9:$V$600,"&lt;="&amp;$AP10,$V$9:$V$600,"&gt;"&amp;$AP9)/$AU$7</f>
        <v>0.86956521739130432</v>
      </c>
      <c r="AW10" s="187">
        <v>100</v>
      </c>
      <c r="AX10" s="190">
        <f t="shared" ref="AX10:AX25" si="15">COUNTIFS($D$9:$D$600,"&lt;="&amp;$AW10,$D$9:$D$600,"&gt;"&amp;$AW9)/$AX$7</f>
        <v>3.5087719298245612E-2</v>
      </c>
      <c r="AY10" s="190">
        <f t="shared" ref="AY10:AY25" si="16">COUNTIFS($I$9:$I$600,"&lt;="&amp;$AW10,$I$9:$I$600,"&gt;"&amp;$AW9)/$AY$7</f>
        <v>3.0864197530864196E-2</v>
      </c>
      <c r="AZ10" s="190">
        <f t="shared" ref="AZ10:AZ25" si="17">COUNTIFS($N$9:$N$600,"&lt;="&amp;$AW10,$N$9:$N$600,"&gt;"&amp;$AW9)/$AZ$7</f>
        <v>3.0100334448160536E-2</v>
      </c>
      <c r="BA10" s="190">
        <f t="shared" ref="BA10:BA25" si="18">COUNTIFS($S$9:$S$600,"&lt;="&amp;$AW10,$S$9:$S$600,"&gt;"&amp;$AW9)/$BA$7</f>
        <v>0.04</v>
      </c>
      <c r="BB10" s="190">
        <f t="shared" ref="BB10:BB25" si="19">COUNTIFS($W$9:$W$600,"&lt;="&amp;$AW10,$W$9:$W$600,"&gt;"&amp;$AW9)/$BB$7</f>
        <v>0</v>
      </c>
    </row>
    <row r="11" spans="1:54" x14ac:dyDescent="0.25">
      <c r="A11">
        <v>599</v>
      </c>
      <c r="B11">
        <v>1737</v>
      </c>
      <c r="C11">
        <v>51440989</v>
      </c>
      <c r="D11">
        <v>11909376</v>
      </c>
      <c r="F11">
        <v>599</v>
      </c>
      <c r="G11">
        <v>1737</v>
      </c>
      <c r="H11">
        <v>51440989</v>
      </c>
      <c r="I11">
        <v>11909376</v>
      </c>
      <c r="K11">
        <v>28</v>
      </c>
      <c r="L11">
        <v>72</v>
      </c>
      <c r="M11">
        <v>1882553</v>
      </c>
      <c r="N11">
        <v>562549</v>
      </c>
      <c r="P11">
        <v>732</v>
      </c>
      <c r="Q11">
        <v>292</v>
      </c>
      <c r="R11">
        <v>154063065</v>
      </c>
      <c r="S11">
        <v>43484820</v>
      </c>
      <c r="U11">
        <v>0</v>
      </c>
      <c r="V11">
        <v>2</v>
      </c>
      <c r="W11">
        <v>0</v>
      </c>
      <c r="X11">
        <v>295</v>
      </c>
      <c r="AB11" s="100">
        <v>2</v>
      </c>
      <c r="AC11" s="190">
        <f t="shared" si="0"/>
        <v>0.10275689223057644</v>
      </c>
      <c r="AD11" s="190">
        <f t="shared" si="1"/>
        <v>0.10802469135802469</v>
      </c>
      <c r="AE11" s="190">
        <f t="shared" si="2"/>
        <v>0.10702341137123746</v>
      </c>
      <c r="AF11" s="190">
        <f t="shared" si="3"/>
        <v>0.12</v>
      </c>
      <c r="AG11" s="190">
        <f t="shared" si="4"/>
        <v>6.5217391304347824E-2</v>
      </c>
      <c r="AI11" s="100">
        <v>2</v>
      </c>
      <c r="AJ11" s="190">
        <f t="shared" si="5"/>
        <v>6.5162907268170422E-2</v>
      </c>
      <c r="AK11" s="190">
        <f t="shared" si="6"/>
        <v>6.1728395061728392E-2</v>
      </c>
      <c r="AL11" s="190">
        <f t="shared" si="7"/>
        <v>6.6889632107023408E-2</v>
      </c>
      <c r="AM11" s="190">
        <f t="shared" si="8"/>
        <v>0</v>
      </c>
      <c r="AN11" s="190">
        <f t="shared" si="9"/>
        <v>6.5217391304347824E-2</v>
      </c>
      <c r="AP11" s="187">
        <v>1000</v>
      </c>
      <c r="AQ11" s="190">
        <f t="shared" si="10"/>
        <v>2.2556390977443608E-2</v>
      </c>
      <c r="AR11" s="190">
        <f t="shared" si="11"/>
        <v>1.5432098765432098E-2</v>
      </c>
      <c r="AS11" s="190">
        <f t="shared" si="12"/>
        <v>1.6722408026755852E-2</v>
      </c>
      <c r="AT11" s="190">
        <f t="shared" si="13"/>
        <v>0</v>
      </c>
      <c r="AU11" s="190">
        <f t="shared" si="14"/>
        <v>8.6956521739130432E-2</v>
      </c>
      <c r="AW11" s="187">
        <v>500</v>
      </c>
      <c r="AX11" s="190">
        <f t="shared" si="15"/>
        <v>7.0175438596491224E-2</v>
      </c>
      <c r="AY11" s="190">
        <f t="shared" si="16"/>
        <v>5.5555555555555552E-2</v>
      </c>
      <c r="AZ11" s="190">
        <f t="shared" si="17"/>
        <v>6.0200668896321072E-2</v>
      </c>
      <c r="BA11" s="190">
        <f t="shared" si="18"/>
        <v>0</v>
      </c>
      <c r="BB11" s="190">
        <f t="shared" si="19"/>
        <v>2.1739130434782608E-2</v>
      </c>
    </row>
    <row r="12" spans="1:54" x14ac:dyDescent="0.25">
      <c r="A12">
        <v>28</v>
      </c>
      <c r="B12">
        <v>72</v>
      </c>
      <c r="C12">
        <v>1882553</v>
      </c>
      <c r="D12">
        <v>562549</v>
      </c>
      <c r="F12">
        <v>28</v>
      </c>
      <c r="G12">
        <v>72</v>
      </c>
      <c r="H12">
        <v>1882553</v>
      </c>
      <c r="I12">
        <v>562549</v>
      </c>
      <c r="K12">
        <v>7</v>
      </c>
      <c r="L12">
        <v>3</v>
      </c>
      <c r="M12">
        <v>67536</v>
      </c>
      <c r="N12">
        <v>31184</v>
      </c>
      <c r="P12">
        <v>259</v>
      </c>
      <c r="Q12">
        <v>644</v>
      </c>
      <c r="R12">
        <v>23061329</v>
      </c>
      <c r="S12">
        <v>5713944</v>
      </c>
      <c r="U12">
        <v>1</v>
      </c>
      <c r="V12">
        <v>1</v>
      </c>
      <c r="W12">
        <v>39570</v>
      </c>
      <c r="X12">
        <v>1497</v>
      </c>
      <c r="AB12" s="100">
        <v>3</v>
      </c>
      <c r="AC12" s="190">
        <f t="shared" si="0"/>
        <v>5.764411027568922E-2</v>
      </c>
      <c r="AD12" s="190">
        <f t="shared" si="1"/>
        <v>5.8641975308641972E-2</v>
      </c>
      <c r="AE12" s="190">
        <f t="shared" si="2"/>
        <v>6.354515050167224E-2</v>
      </c>
      <c r="AF12" s="190">
        <f t="shared" si="3"/>
        <v>0</v>
      </c>
      <c r="AG12" s="190">
        <f t="shared" si="4"/>
        <v>2.1739130434782608E-2</v>
      </c>
      <c r="AI12" s="100">
        <v>3</v>
      </c>
      <c r="AJ12" s="190">
        <f t="shared" si="5"/>
        <v>5.0125313283208017E-2</v>
      </c>
      <c r="AK12" s="190">
        <f t="shared" si="6"/>
        <v>3.7037037037037035E-2</v>
      </c>
      <c r="AL12" s="190">
        <f t="shared" si="7"/>
        <v>4.0133779264214048E-2</v>
      </c>
      <c r="AM12" s="190">
        <f t="shared" si="8"/>
        <v>0</v>
      </c>
      <c r="AN12" s="190">
        <f t="shared" si="9"/>
        <v>2.1739130434782608E-2</v>
      </c>
      <c r="AP12" s="187">
        <v>10000</v>
      </c>
      <c r="AQ12" s="190">
        <f t="shared" si="10"/>
        <v>9.2731829573934832E-2</v>
      </c>
      <c r="AR12" s="190">
        <f t="shared" si="11"/>
        <v>8.3333333333333329E-2</v>
      </c>
      <c r="AS12" s="190">
        <f t="shared" si="12"/>
        <v>8.3612040133779264E-2</v>
      </c>
      <c r="AT12" s="190">
        <f t="shared" si="13"/>
        <v>0.08</v>
      </c>
      <c r="AU12" s="190">
        <f t="shared" si="14"/>
        <v>0</v>
      </c>
      <c r="AW12" s="187">
        <v>1000</v>
      </c>
      <c r="AX12" s="190">
        <f t="shared" si="15"/>
        <v>3.7593984962406013E-2</v>
      </c>
      <c r="AY12" s="190">
        <f t="shared" si="16"/>
        <v>3.3950617283950615E-2</v>
      </c>
      <c r="AZ12" s="190">
        <f t="shared" si="17"/>
        <v>3.678929765886288E-2</v>
      </c>
      <c r="BA12" s="190">
        <f t="shared" si="18"/>
        <v>0</v>
      </c>
      <c r="BB12" s="190">
        <f t="shared" si="19"/>
        <v>0</v>
      </c>
    </row>
    <row r="13" spans="1:54" x14ac:dyDescent="0.25">
      <c r="A13">
        <v>7</v>
      </c>
      <c r="B13">
        <v>3</v>
      </c>
      <c r="C13">
        <v>67536</v>
      </c>
      <c r="D13">
        <v>31184</v>
      </c>
      <c r="F13">
        <v>7</v>
      </c>
      <c r="G13">
        <v>3</v>
      </c>
      <c r="H13">
        <v>67536</v>
      </c>
      <c r="I13">
        <v>31184</v>
      </c>
      <c r="K13">
        <v>1</v>
      </c>
      <c r="L13">
        <v>0</v>
      </c>
      <c r="M13">
        <v>97</v>
      </c>
      <c r="N13">
        <v>6289</v>
      </c>
      <c r="P13">
        <v>2</v>
      </c>
      <c r="Q13">
        <v>11</v>
      </c>
      <c r="R13">
        <v>30650</v>
      </c>
      <c r="S13">
        <v>10967</v>
      </c>
      <c r="U13">
        <v>0</v>
      </c>
      <c r="V13">
        <v>20</v>
      </c>
      <c r="W13">
        <v>0</v>
      </c>
      <c r="X13">
        <v>2721</v>
      </c>
      <c r="AB13" s="100">
        <v>4</v>
      </c>
      <c r="AC13" s="190">
        <f t="shared" si="0"/>
        <v>2.7568922305764409E-2</v>
      </c>
      <c r="AD13" s="190">
        <f t="shared" si="1"/>
        <v>2.7777777777777776E-2</v>
      </c>
      <c r="AE13" s="190">
        <f t="shared" si="2"/>
        <v>2.6755852842809364E-2</v>
      </c>
      <c r="AF13" s="190">
        <f t="shared" si="3"/>
        <v>0.04</v>
      </c>
      <c r="AG13" s="190">
        <f t="shared" si="4"/>
        <v>4.3478260869565216E-2</v>
      </c>
      <c r="AI13" s="100">
        <v>4</v>
      </c>
      <c r="AJ13" s="190">
        <f t="shared" si="5"/>
        <v>5.2631578947368418E-2</v>
      </c>
      <c r="AK13" s="190">
        <f t="shared" si="6"/>
        <v>4.6296296296296294E-2</v>
      </c>
      <c r="AL13" s="190">
        <f t="shared" si="7"/>
        <v>4.6822742474916385E-2</v>
      </c>
      <c r="AM13" s="190">
        <f t="shared" si="8"/>
        <v>0.04</v>
      </c>
      <c r="AN13" s="190">
        <f t="shared" si="9"/>
        <v>4.3478260869565216E-2</v>
      </c>
      <c r="AP13" s="187">
        <v>25000</v>
      </c>
      <c r="AQ13" s="190">
        <f t="shared" si="10"/>
        <v>0.13283208020050125</v>
      </c>
      <c r="AR13" s="190">
        <f t="shared" si="11"/>
        <v>0.12037037037037036</v>
      </c>
      <c r="AS13" s="190">
        <f t="shared" si="12"/>
        <v>0.13043478260869565</v>
      </c>
      <c r="AT13" s="190">
        <f t="shared" si="13"/>
        <v>0</v>
      </c>
      <c r="AU13" s="190">
        <f t="shared" si="14"/>
        <v>0</v>
      </c>
      <c r="AW13" s="187">
        <v>2500</v>
      </c>
      <c r="AX13" s="190">
        <f t="shared" si="15"/>
        <v>0.13283208020050125</v>
      </c>
      <c r="AY13" s="190">
        <f t="shared" si="16"/>
        <v>0.11728395061728394</v>
      </c>
      <c r="AZ13" s="190">
        <f t="shared" si="17"/>
        <v>0.12709030100334448</v>
      </c>
      <c r="BA13" s="190">
        <f t="shared" si="18"/>
        <v>0</v>
      </c>
      <c r="BB13" s="190">
        <f t="shared" si="19"/>
        <v>2.1739130434782608E-2</v>
      </c>
    </row>
    <row r="14" spans="1:54" x14ac:dyDescent="0.25">
      <c r="A14">
        <v>1</v>
      </c>
      <c r="B14">
        <v>0</v>
      </c>
      <c r="C14">
        <v>97</v>
      </c>
      <c r="D14">
        <v>6289</v>
      </c>
      <c r="F14">
        <v>1</v>
      </c>
      <c r="G14">
        <v>0</v>
      </c>
      <c r="H14">
        <v>97</v>
      </c>
      <c r="I14">
        <v>6289</v>
      </c>
      <c r="K14">
        <v>1</v>
      </c>
      <c r="L14">
        <v>0</v>
      </c>
      <c r="M14">
        <v>14898</v>
      </c>
      <c r="N14">
        <v>0</v>
      </c>
      <c r="P14">
        <v>844</v>
      </c>
      <c r="Q14">
        <v>392</v>
      </c>
      <c r="R14">
        <v>191597016</v>
      </c>
      <c r="S14">
        <v>50174674</v>
      </c>
      <c r="U14">
        <v>0</v>
      </c>
      <c r="V14">
        <v>3</v>
      </c>
      <c r="W14">
        <v>12345</v>
      </c>
      <c r="X14">
        <v>361</v>
      </c>
      <c r="AB14" s="100">
        <v>5</v>
      </c>
      <c r="AC14" s="190">
        <f t="shared" si="0"/>
        <v>1.7543859649122806E-2</v>
      </c>
      <c r="AD14" s="190">
        <f t="shared" si="1"/>
        <v>1.8518518518518517E-2</v>
      </c>
      <c r="AE14" s="190">
        <f t="shared" si="2"/>
        <v>2.0066889632107024E-2</v>
      </c>
      <c r="AF14" s="190">
        <f t="shared" si="3"/>
        <v>0</v>
      </c>
      <c r="AG14" s="190">
        <f t="shared" si="4"/>
        <v>2.1739130434782608E-2</v>
      </c>
      <c r="AI14" s="100">
        <v>5</v>
      </c>
      <c r="AJ14" s="190">
        <f t="shared" si="5"/>
        <v>3.5087719298245612E-2</v>
      </c>
      <c r="AK14" s="190">
        <f t="shared" si="6"/>
        <v>2.4691358024691357E-2</v>
      </c>
      <c r="AL14" s="190">
        <f t="shared" si="7"/>
        <v>2.3411371237458192E-2</v>
      </c>
      <c r="AM14" s="190">
        <f t="shared" si="8"/>
        <v>0.04</v>
      </c>
      <c r="AN14" s="190">
        <f t="shared" si="9"/>
        <v>2.1739130434782608E-2</v>
      </c>
      <c r="AP14" s="187">
        <v>50000</v>
      </c>
      <c r="AQ14" s="190">
        <f t="shared" si="10"/>
        <v>0.10776942355889724</v>
      </c>
      <c r="AR14" s="190">
        <f t="shared" si="11"/>
        <v>0.10802469135802469</v>
      </c>
      <c r="AS14" s="190">
        <f t="shared" si="12"/>
        <v>0.11036789297658862</v>
      </c>
      <c r="AT14" s="190">
        <f t="shared" si="13"/>
        <v>0.08</v>
      </c>
      <c r="AU14" s="190">
        <f t="shared" si="14"/>
        <v>0</v>
      </c>
      <c r="AW14" s="187">
        <v>5000</v>
      </c>
      <c r="AX14" s="190">
        <f t="shared" si="15"/>
        <v>9.0225563909774431E-2</v>
      </c>
      <c r="AY14" s="190">
        <f t="shared" si="16"/>
        <v>8.6419753086419748E-2</v>
      </c>
      <c r="AZ14" s="190">
        <f t="shared" si="17"/>
        <v>9.3645484949832769E-2</v>
      </c>
      <c r="BA14" s="190">
        <f t="shared" si="18"/>
        <v>0</v>
      </c>
      <c r="BB14" s="190">
        <f t="shared" si="19"/>
        <v>8.6956521739130432E-2</v>
      </c>
    </row>
    <row r="15" spans="1:54" x14ac:dyDescent="0.25">
      <c r="A15">
        <v>1</v>
      </c>
      <c r="B15">
        <v>0</v>
      </c>
      <c r="C15">
        <v>14898</v>
      </c>
      <c r="D15">
        <v>0</v>
      </c>
      <c r="F15">
        <v>1</v>
      </c>
      <c r="G15">
        <v>0</v>
      </c>
      <c r="H15">
        <v>14898</v>
      </c>
      <c r="I15">
        <v>0</v>
      </c>
      <c r="K15">
        <v>0</v>
      </c>
      <c r="L15">
        <v>15</v>
      </c>
      <c r="M15">
        <v>44825</v>
      </c>
      <c r="N15">
        <v>20603</v>
      </c>
      <c r="P15">
        <v>1</v>
      </c>
      <c r="Q15">
        <v>1</v>
      </c>
      <c r="R15">
        <v>147874</v>
      </c>
      <c r="S15">
        <v>39972</v>
      </c>
      <c r="U15">
        <v>3</v>
      </c>
      <c r="V15">
        <v>3</v>
      </c>
      <c r="W15">
        <v>2967</v>
      </c>
      <c r="X15">
        <v>1838</v>
      </c>
      <c r="AB15" s="100">
        <v>10</v>
      </c>
      <c r="AC15" s="190">
        <f t="shared" si="0"/>
        <v>7.5187969924812026E-2</v>
      </c>
      <c r="AD15" s="190">
        <f t="shared" si="1"/>
        <v>8.6419753086419748E-2</v>
      </c>
      <c r="AE15" s="190">
        <f t="shared" si="2"/>
        <v>9.3645484949832769E-2</v>
      </c>
      <c r="AF15" s="190">
        <f t="shared" si="3"/>
        <v>0</v>
      </c>
      <c r="AG15" s="190">
        <f t="shared" si="4"/>
        <v>4.3478260869565216E-2</v>
      </c>
      <c r="AI15" s="100">
        <v>10</v>
      </c>
      <c r="AJ15" s="190">
        <f t="shared" si="5"/>
        <v>0.11278195488721804</v>
      </c>
      <c r="AK15" s="190">
        <f t="shared" si="6"/>
        <v>0.11419753086419752</v>
      </c>
      <c r="AL15" s="190">
        <f t="shared" si="7"/>
        <v>0.12374581939799331</v>
      </c>
      <c r="AM15" s="190">
        <f t="shared" si="8"/>
        <v>0</v>
      </c>
      <c r="AN15" s="190">
        <f t="shared" si="9"/>
        <v>4.3478260869565216E-2</v>
      </c>
      <c r="AP15" s="187">
        <v>75000</v>
      </c>
      <c r="AQ15" s="190">
        <f t="shared" si="10"/>
        <v>4.2606516290726815E-2</v>
      </c>
      <c r="AR15" s="190">
        <f t="shared" si="11"/>
        <v>4.6296296296296294E-2</v>
      </c>
      <c r="AS15" s="190">
        <f t="shared" si="12"/>
        <v>5.016722408026756E-2</v>
      </c>
      <c r="AT15" s="190">
        <f t="shared" si="13"/>
        <v>0</v>
      </c>
      <c r="AU15" s="190">
        <f t="shared" si="14"/>
        <v>0</v>
      </c>
      <c r="AW15" s="187">
        <v>7500</v>
      </c>
      <c r="AX15" s="190">
        <f t="shared" si="15"/>
        <v>5.5137844611528819E-2</v>
      </c>
      <c r="AY15" s="190">
        <f t="shared" si="16"/>
        <v>5.5555555555555552E-2</v>
      </c>
      <c r="AZ15" s="190">
        <f t="shared" si="17"/>
        <v>5.3511705685618728E-2</v>
      </c>
      <c r="BA15" s="190">
        <f t="shared" si="18"/>
        <v>0.08</v>
      </c>
      <c r="BB15" s="190">
        <f t="shared" si="19"/>
        <v>4.3478260869565216E-2</v>
      </c>
    </row>
    <row r="16" spans="1:54" x14ac:dyDescent="0.25">
      <c r="A16">
        <v>0</v>
      </c>
      <c r="B16">
        <v>15</v>
      </c>
      <c r="C16">
        <v>44825</v>
      </c>
      <c r="D16">
        <v>20603</v>
      </c>
      <c r="F16">
        <v>0</v>
      </c>
      <c r="G16">
        <v>15</v>
      </c>
      <c r="H16">
        <v>44825</v>
      </c>
      <c r="I16">
        <v>20603</v>
      </c>
      <c r="K16">
        <v>17</v>
      </c>
      <c r="L16">
        <v>64</v>
      </c>
      <c r="M16">
        <v>1042229</v>
      </c>
      <c r="N16">
        <v>138578</v>
      </c>
      <c r="P16">
        <v>2</v>
      </c>
      <c r="Q16">
        <v>0</v>
      </c>
      <c r="R16">
        <v>2081</v>
      </c>
      <c r="S16">
        <v>6220</v>
      </c>
      <c r="U16">
        <v>0</v>
      </c>
      <c r="V16">
        <v>2</v>
      </c>
      <c r="W16">
        <v>10135</v>
      </c>
      <c r="X16">
        <v>0</v>
      </c>
      <c r="AB16" s="100">
        <v>20</v>
      </c>
      <c r="AC16" s="190">
        <f t="shared" si="0"/>
        <v>5.764411027568922E-2</v>
      </c>
      <c r="AD16" s="190">
        <f t="shared" si="1"/>
        <v>7.098765432098765E-2</v>
      </c>
      <c r="AE16" s="190">
        <f t="shared" si="2"/>
        <v>7.6923076923076927E-2</v>
      </c>
      <c r="AF16" s="190">
        <f t="shared" si="3"/>
        <v>0</v>
      </c>
      <c r="AG16" s="190">
        <f t="shared" si="4"/>
        <v>0</v>
      </c>
      <c r="AI16" s="100">
        <v>20</v>
      </c>
      <c r="AJ16" s="190">
        <f t="shared" si="5"/>
        <v>0.14786967418546365</v>
      </c>
      <c r="AK16" s="190">
        <f t="shared" si="6"/>
        <v>0.15740740740740741</v>
      </c>
      <c r="AL16" s="190">
        <f t="shared" si="7"/>
        <v>0.15719063545150502</v>
      </c>
      <c r="AM16" s="190">
        <f t="shared" si="8"/>
        <v>0.16</v>
      </c>
      <c r="AN16" s="190">
        <f t="shared" si="9"/>
        <v>0</v>
      </c>
      <c r="AP16" s="187">
        <v>100000</v>
      </c>
      <c r="AQ16" s="190">
        <f t="shared" si="10"/>
        <v>1.5037593984962405E-2</v>
      </c>
      <c r="AR16" s="190">
        <f t="shared" si="11"/>
        <v>1.8518518518518517E-2</v>
      </c>
      <c r="AS16" s="190">
        <f t="shared" si="12"/>
        <v>2.0066889632107024E-2</v>
      </c>
      <c r="AT16" s="190">
        <f t="shared" si="13"/>
        <v>0</v>
      </c>
      <c r="AU16" s="190">
        <f t="shared" si="14"/>
        <v>0</v>
      </c>
      <c r="AW16" s="187">
        <v>10000</v>
      </c>
      <c r="AX16" s="190">
        <f t="shared" si="15"/>
        <v>4.2606516290726815E-2</v>
      </c>
      <c r="AY16" s="190">
        <f t="shared" si="16"/>
        <v>4.0123456790123455E-2</v>
      </c>
      <c r="AZ16" s="190">
        <f t="shared" si="17"/>
        <v>4.0133779264214048E-2</v>
      </c>
      <c r="BA16" s="190">
        <f t="shared" si="18"/>
        <v>0.04</v>
      </c>
      <c r="BB16" s="190">
        <f t="shared" si="19"/>
        <v>0</v>
      </c>
    </row>
    <row r="17" spans="1:54" x14ac:dyDescent="0.25">
      <c r="A17">
        <v>17</v>
      </c>
      <c r="B17">
        <v>64</v>
      </c>
      <c r="C17">
        <v>1042229</v>
      </c>
      <c r="D17">
        <v>138578</v>
      </c>
      <c r="F17">
        <v>17</v>
      </c>
      <c r="G17">
        <v>64</v>
      </c>
      <c r="H17">
        <v>1042229</v>
      </c>
      <c r="I17">
        <v>138578</v>
      </c>
      <c r="K17">
        <v>2</v>
      </c>
      <c r="L17">
        <v>13</v>
      </c>
      <c r="M17">
        <v>38949</v>
      </c>
      <c r="N17">
        <v>12578</v>
      </c>
      <c r="P17">
        <v>77</v>
      </c>
      <c r="Q17">
        <v>712</v>
      </c>
      <c r="R17">
        <v>8655523</v>
      </c>
      <c r="S17">
        <v>1008312</v>
      </c>
      <c r="U17">
        <v>1</v>
      </c>
      <c r="V17">
        <v>0</v>
      </c>
      <c r="W17">
        <v>0</v>
      </c>
      <c r="X17">
        <v>13105</v>
      </c>
      <c r="AB17" s="100">
        <v>30</v>
      </c>
      <c r="AC17" s="190">
        <f t="shared" si="0"/>
        <v>3.5087719298245612E-2</v>
      </c>
      <c r="AD17" s="190">
        <f t="shared" si="1"/>
        <v>4.0123456790123455E-2</v>
      </c>
      <c r="AE17" s="190">
        <f t="shared" si="2"/>
        <v>3.678929765886288E-2</v>
      </c>
      <c r="AF17" s="190">
        <f t="shared" si="3"/>
        <v>0.08</v>
      </c>
      <c r="AG17" s="190">
        <f t="shared" si="4"/>
        <v>0</v>
      </c>
      <c r="AI17" s="100">
        <v>30</v>
      </c>
      <c r="AJ17" s="190">
        <f t="shared" si="5"/>
        <v>8.771929824561403E-2</v>
      </c>
      <c r="AK17" s="190">
        <f t="shared" si="6"/>
        <v>9.8765432098765427E-2</v>
      </c>
      <c r="AL17" s="190">
        <f t="shared" si="7"/>
        <v>0.10367892976588629</v>
      </c>
      <c r="AM17" s="190">
        <f t="shared" si="8"/>
        <v>0.04</v>
      </c>
      <c r="AN17" s="190">
        <f t="shared" si="9"/>
        <v>0</v>
      </c>
      <c r="AP17" s="187">
        <v>250000</v>
      </c>
      <c r="AQ17" s="190">
        <f t="shared" si="10"/>
        <v>0.10526315789473684</v>
      </c>
      <c r="AR17" s="190">
        <f t="shared" si="11"/>
        <v>0.11419753086419752</v>
      </c>
      <c r="AS17" s="190">
        <f t="shared" si="12"/>
        <v>0.11705685618729098</v>
      </c>
      <c r="AT17" s="190">
        <f t="shared" si="13"/>
        <v>0.08</v>
      </c>
      <c r="AU17" s="190">
        <f t="shared" si="14"/>
        <v>0</v>
      </c>
      <c r="AW17" s="187">
        <v>25000</v>
      </c>
      <c r="AX17" s="190">
        <f t="shared" si="15"/>
        <v>0.13784461152882205</v>
      </c>
      <c r="AY17" s="190">
        <f t="shared" si="16"/>
        <v>0.14814814814814814</v>
      </c>
      <c r="AZ17" s="190">
        <f t="shared" si="17"/>
        <v>0.15719063545150502</v>
      </c>
      <c r="BA17" s="190">
        <f t="shared" si="18"/>
        <v>0.04</v>
      </c>
      <c r="BB17" s="190">
        <f t="shared" si="19"/>
        <v>0.15217391304347827</v>
      </c>
    </row>
    <row r="18" spans="1:54" x14ac:dyDescent="0.25">
      <c r="A18">
        <v>2</v>
      </c>
      <c r="B18">
        <v>13</v>
      </c>
      <c r="C18">
        <v>38949</v>
      </c>
      <c r="D18">
        <v>12578</v>
      </c>
      <c r="F18">
        <v>2</v>
      </c>
      <c r="G18">
        <v>13</v>
      </c>
      <c r="H18">
        <v>38949</v>
      </c>
      <c r="I18">
        <v>12578</v>
      </c>
      <c r="K18">
        <v>17</v>
      </c>
      <c r="L18">
        <v>115</v>
      </c>
      <c r="M18">
        <v>1733698</v>
      </c>
      <c r="N18">
        <v>329156</v>
      </c>
      <c r="P18">
        <v>5725</v>
      </c>
      <c r="Q18">
        <v>5641</v>
      </c>
      <c r="R18">
        <v>479519075</v>
      </c>
      <c r="S18">
        <v>1127605</v>
      </c>
      <c r="U18">
        <v>0</v>
      </c>
      <c r="V18">
        <v>58</v>
      </c>
      <c r="W18">
        <v>0</v>
      </c>
      <c r="X18">
        <v>8052</v>
      </c>
      <c r="AB18" s="100">
        <v>40</v>
      </c>
      <c r="AC18" s="190">
        <f t="shared" si="0"/>
        <v>2.7568922305764409E-2</v>
      </c>
      <c r="AD18" s="190">
        <f t="shared" si="1"/>
        <v>3.3950617283950615E-2</v>
      </c>
      <c r="AE18" s="190">
        <f t="shared" si="2"/>
        <v>3.3444816053511704E-2</v>
      </c>
      <c r="AF18" s="190">
        <f t="shared" si="3"/>
        <v>0.04</v>
      </c>
      <c r="AG18" s="190">
        <f t="shared" si="4"/>
        <v>0</v>
      </c>
      <c r="AI18" s="100">
        <v>40</v>
      </c>
      <c r="AJ18" s="190">
        <f t="shared" si="5"/>
        <v>3.2581453634085211E-2</v>
      </c>
      <c r="AK18" s="190">
        <f t="shared" si="6"/>
        <v>3.7037037037037035E-2</v>
      </c>
      <c r="AL18" s="190">
        <f t="shared" si="7"/>
        <v>4.0133779264214048E-2</v>
      </c>
      <c r="AM18" s="190">
        <f t="shared" si="8"/>
        <v>0</v>
      </c>
      <c r="AN18" s="190">
        <f t="shared" si="9"/>
        <v>0</v>
      </c>
      <c r="AP18" s="187">
        <v>500000</v>
      </c>
      <c r="AQ18" s="190">
        <f t="shared" si="10"/>
        <v>6.0150375939849621E-2</v>
      </c>
      <c r="AR18" s="190">
        <f t="shared" si="11"/>
        <v>6.7901234567901231E-2</v>
      </c>
      <c r="AS18" s="190">
        <f t="shared" si="12"/>
        <v>7.3578595317725759E-2</v>
      </c>
      <c r="AT18" s="190">
        <f t="shared" si="13"/>
        <v>0</v>
      </c>
      <c r="AU18" s="190">
        <f t="shared" si="14"/>
        <v>0</v>
      </c>
      <c r="AW18" s="187">
        <v>50000</v>
      </c>
      <c r="AX18" s="190">
        <f t="shared" si="15"/>
        <v>7.5187969924812026E-2</v>
      </c>
      <c r="AY18" s="190">
        <f t="shared" si="16"/>
        <v>8.9506172839506168E-2</v>
      </c>
      <c r="AZ18" s="190">
        <f t="shared" si="17"/>
        <v>8.6956521739130432E-2</v>
      </c>
      <c r="BA18" s="190">
        <f t="shared" si="18"/>
        <v>0.12</v>
      </c>
      <c r="BB18" s="190">
        <f t="shared" si="19"/>
        <v>0.13043478260869565</v>
      </c>
    </row>
    <row r="19" spans="1:54" x14ac:dyDescent="0.25">
      <c r="A19">
        <v>17</v>
      </c>
      <c r="B19">
        <v>115</v>
      </c>
      <c r="C19">
        <v>1733698</v>
      </c>
      <c r="D19">
        <v>329156</v>
      </c>
      <c r="F19">
        <v>17</v>
      </c>
      <c r="G19">
        <v>115</v>
      </c>
      <c r="H19">
        <v>1733698</v>
      </c>
      <c r="I19">
        <v>329156</v>
      </c>
      <c r="K19">
        <v>93</v>
      </c>
      <c r="L19">
        <v>59</v>
      </c>
      <c r="M19">
        <v>35441176</v>
      </c>
      <c r="N19">
        <v>6883725</v>
      </c>
      <c r="P19">
        <v>25</v>
      </c>
      <c r="Q19">
        <v>27</v>
      </c>
      <c r="R19">
        <v>9327277</v>
      </c>
      <c r="S19">
        <v>3812204</v>
      </c>
      <c r="U19">
        <v>46</v>
      </c>
      <c r="V19">
        <v>370</v>
      </c>
      <c r="W19">
        <v>3715551</v>
      </c>
      <c r="X19">
        <v>155112</v>
      </c>
      <c r="AB19" s="100">
        <v>50</v>
      </c>
      <c r="AC19" s="190">
        <f t="shared" si="0"/>
        <v>1.0025062656641603E-2</v>
      </c>
      <c r="AD19" s="190">
        <f t="shared" si="1"/>
        <v>6.1728395061728392E-3</v>
      </c>
      <c r="AE19" s="190">
        <f t="shared" si="2"/>
        <v>6.688963210702341E-3</v>
      </c>
      <c r="AF19" s="190">
        <f t="shared" si="3"/>
        <v>0</v>
      </c>
      <c r="AG19" s="190">
        <f t="shared" si="4"/>
        <v>2.1739130434782608E-2</v>
      </c>
      <c r="AI19" s="100">
        <v>50</v>
      </c>
      <c r="AJ19" s="190">
        <f t="shared" si="5"/>
        <v>2.0050125313283207E-2</v>
      </c>
      <c r="AK19" s="190">
        <f t="shared" si="6"/>
        <v>2.4691358024691357E-2</v>
      </c>
      <c r="AL19" s="190">
        <f t="shared" si="7"/>
        <v>2.6755852842809364E-2</v>
      </c>
      <c r="AM19" s="190">
        <f t="shared" si="8"/>
        <v>0</v>
      </c>
      <c r="AN19" s="190">
        <f t="shared" si="9"/>
        <v>2.1739130434782608E-2</v>
      </c>
      <c r="AP19" s="187">
        <v>750000</v>
      </c>
      <c r="AQ19" s="190">
        <f t="shared" si="10"/>
        <v>2.7568922305764409E-2</v>
      </c>
      <c r="AR19" s="190">
        <f t="shared" si="11"/>
        <v>3.3950617283950615E-2</v>
      </c>
      <c r="AS19" s="190">
        <f t="shared" si="12"/>
        <v>3.678929765886288E-2</v>
      </c>
      <c r="AT19" s="190">
        <f t="shared" si="13"/>
        <v>0</v>
      </c>
      <c r="AU19" s="190">
        <f t="shared" si="14"/>
        <v>0</v>
      </c>
      <c r="AW19" s="187">
        <v>75000</v>
      </c>
      <c r="AX19" s="190">
        <f t="shared" si="15"/>
        <v>2.7568922305764409E-2</v>
      </c>
      <c r="AY19" s="190">
        <f t="shared" si="16"/>
        <v>3.0864197530864196E-2</v>
      </c>
      <c r="AZ19" s="190">
        <f t="shared" si="17"/>
        <v>3.3444816053511704E-2</v>
      </c>
      <c r="BA19" s="190">
        <f t="shared" si="18"/>
        <v>0</v>
      </c>
      <c r="BB19" s="190">
        <f t="shared" si="19"/>
        <v>2.1739130434782608E-2</v>
      </c>
    </row>
    <row r="20" spans="1:54" x14ac:dyDescent="0.25">
      <c r="A20">
        <v>93</v>
      </c>
      <c r="B20">
        <v>59</v>
      </c>
      <c r="C20">
        <v>35441176</v>
      </c>
      <c r="D20">
        <v>6883725</v>
      </c>
      <c r="F20">
        <v>93</v>
      </c>
      <c r="G20">
        <v>59</v>
      </c>
      <c r="H20">
        <v>35441176</v>
      </c>
      <c r="I20">
        <v>6883725</v>
      </c>
      <c r="K20">
        <v>1</v>
      </c>
      <c r="L20">
        <v>0</v>
      </c>
      <c r="M20">
        <v>505</v>
      </c>
      <c r="N20">
        <v>0</v>
      </c>
      <c r="P20">
        <v>183</v>
      </c>
      <c r="Q20">
        <v>96</v>
      </c>
      <c r="R20">
        <v>39774691</v>
      </c>
      <c r="S20">
        <v>9793899</v>
      </c>
      <c r="U20">
        <v>52</v>
      </c>
      <c r="V20">
        <v>246</v>
      </c>
      <c r="W20">
        <v>2879154</v>
      </c>
      <c r="X20">
        <v>66177</v>
      </c>
      <c r="AB20" s="100">
        <v>100</v>
      </c>
      <c r="AC20" s="190">
        <f t="shared" si="0"/>
        <v>2.2556390977443608E-2</v>
      </c>
      <c r="AD20" s="190">
        <f t="shared" si="1"/>
        <v>2.4691358024691357E-2</v>
      </c>
      <c r="AE20" s="190">
        <f t="shared" si="2"/>
        <v>1.6722408026755852E-2</v>
      </c>
      <c r="AF20" s="190">
        <f t="shared" si="3"/>
        <v>0.12</v>
      </c>
      <c r="AG20" s="190">
        <f t="shared" si="4"/>
        <v>2.1739130434782608E-2</v>
      </c>
      <c r="AI20" s="100">
        <v>100</v>
      </c>
      <c r="AJ20" s="190">
        <f t="shared" si="5"/>
        <v>7.2681704260651625E-2</v>
      </c>
      <c r="AK20" s="190">
        <f t="shared" si="6"/>
        <v>8.0246913580246909E-2</v>
      </c>
      <c r="AL20" s="190">
        <f t="shared" si="7"/>
        <v>8.0267558528428096E-2</v>
      </c>
      <c r="AM20" s="190">
        <f t="shared" si="8"/>
        <v>0.08</v>
      </c>
      <c r="AN20" s="190">
        <f t="shared" si="9"/>
        <v>2.1739130434782608E-2</v>
      </c>
      <c r="AP20" s="187">
        <v>1000000</v>
      </c>
      <c r="AQ20" s="190">
        <f t="shared" si="10"/>
        <v>1.2531328320802004E-2</v>
      </c>
      <c r="AR20" s="190">
        <f t="shared" si="11"/>
        <v>1.5432098765432098E-2</v>
      </c>
      <c r="AS20" s="190">
        <f t="shared" si="12"/>
        <v>1.6722408026755852E-2</v>
      </c>
      <c r="AT20" s="190">
        <f t="shared" si="13"/>
        <v>0</v>
      </c>
      <c r="AU20" s="190">
        <f t="shared" si="14"/>
        <v>0</v>
      </c>
      <c r="AW20" s="187">
        <v>100000</v>
      </c>
      <c r="AX20" s="190">
        <f t="shared" si="15"/>
        <v>1.0025062656641603E-2</v>
      </c>
      <c r="AY20" s="190">
        <f t="shared" si="16"/>
        <v>1.2345679012345678E-2</v>
      </c>
      <c r="AZ20" s="190">
        <f t="shared" si="17"/>
        <v>1.3377926421404682E-2</v>
      </c>
      <c r="BA20" s="190">
        <f t="shared" si="18"/>
        <v>0</v>
      </c>
      <c r="BB20" s="190">
        <f t="shared" si="19"/>
        <v>0</v>
      </c>
    </row>
    <row r="21" spans="1:54" x14ac:dyDescent="0.25">
      <c r="A21">
        <v>1</v>
      </c>
      <c r="B21">
        <v>0</v>
      </c>
      <c r="C21">
        <v>505</v>
      </c>
      <c r="D21">
        <v>0</v>
      </c>
      <c r="F21">
        <v>1</v>
      </c>
      <c r="G21">
        <v>0</v>
      </c>
      <c r="H21">
        <v>505</v>
      </c>
      <c r="I21">
        <v>0</v>
      </c>
      <c r="K21">
        <v>4</v>
      </c>
      <c r="L21">
        <v>81</v>
      </c>
      <c r="M21">
        <v>242349</v>
      </c>
      <c r="N21">
        <v>62887</v>
      </c>
      <c r="P21">
        <v>244</v>
      </c>
      <c r="Q21">
        <v>83</v>
      </c>
      <c r="R21">
        <v>75407065</v>
      </c>
      <c r="S21">
        <v>7986523</v>
      </c>
      <c r="U21">
        <v>0</v>
      </c>
      <c r="V21">
        <v>1</v>
      </c>
      <c r="W21">
        <v>2694</v>
      </c>
      <c r="X21">
        <v>897</v>
      </c>
      <c r="AB21" s="100">
        <v>200</v>
      </c>
      <c r="AC21" s="190">
        <f t="shared" si="0"/>
        <v>2.2556390977443608E-2</v>
      </c>
      <c r="AD21" s="190">
        <f t="shared" si="1"/>
        <v>2.7777777777777776E-2</v>
      </c>
      <c r="AE21" s="190">
        <f t="shared" si="2"/>
        <v>2.0066889632107024E-2</v>
      </c>
      <c r="AF21" s="190">
        <f t="shared" si="3"/>
        <v>0.12</v>
      </c>
      <c r="AG21" s="190">
        <f t="shared" si="4"/>
        <v>0</v>
      </c>
      <c r="AI21" s="100">
        <v>200</v>
      </c>
      <c r="AJ21" s="190">
        <f t="shared" si="5"/>
        <v>3.7593984962406013E-2</v>
      </c>
      <c r="AK21" s="190">
        <f t="shared" si="6"/>
        <v>3.3950617283950615E-2</v>
      </c>
      <c r="AL21" s="190">
        <f t="shared" si="7"/>
        <v>3.0100334448160536E-2</v>
      </c>
      <c r="AM21" s="190">
        <f t="shared" si="8"/>
        <v>0.08</v>
      </c>
      <c r="AN21" s="190">
        <f t="shared" si="9"/>
        <v>0</v>
      </c>
      <c r="AP21" s="187">
        <v>2500000</v>
      </c>
      <c r="AQ21" s="190">
        <f t="shared" si="10"/>
        <v>5.0125313283208017E-2</v>
      </c>
      <c r="AR21" s="190">
        <f t="shared" si="11"/>
        <v>6.1728395061728392E-2</v>
      </c>
      <c r="AS21" s="190">
        <f t="shared" si="12"/>
        <v>6.354515050167224E-2</v>
      </c>
      <c r="AT21" s="190">
        <f t="shared" si="13"/>
        <v>0.04</v>
      </c>
      <c r="AU21" s="190">
        <f t="shared" si="14"/>
        <v>0</v>
      </c>
      <c r="AW21" s="187">
        <v>250000</v>
      </c>
      <c r="AX21" s="190">
        <f t="shared" si="15"/>
        <v>5.2631578947368418E-2</v>
      </c>
      <c r="AY21" s="190">
        <f t="shared" si="16"/>
        <v>5.8641975308641972E-2</v>
      </c>
      <c r="AZ21" s="190">
        <f t="shared" si="17"/>
        <v>6.0200668896321072E-2</v>
      </c>
      <c r="BA21" s="190">
        <f t="shared" si="18"/>
        <v>0.04</v>
      </c>
      <c r="BB21" s="190">
        <f t="shared" si="19"/>
        <v>8.6956521739130432E-2</v>
      </c>
    </row>
    <row r="22" spans="1:54" x14ac:dyDescent="0.25">
      <c r="A22">
        <v>4</v>
      </c>
      <c r="B22">
        <v>81</v>
      </c>
      <c r="C22">
        <v>242349</v>
      </c>
      <c r="D22">
        <v>62887</v>
      </c>
      <c r="F22">
        <v>4</v>
      </c>
      <c r="G22">
        <v>81</v>
      </c>
      <c r="H22">
        <v>242349</v>
      </c>
      <c r="I22">
        <v>62887</v>
      </c>
      <c r="K22">
        <v>2</v>
      </c>
      <c r="L22">
        <v>7</v>
      </c>
      <c r="M22">
        <v>512</v>
      </c>
      <c r="N22">
        <v>24746</v>
      </c>
      <c r="P22">
        <v>675</v>
      </c>
      <c r="Q22">
        <v>958</v>
      </c>
      <c r="R22">
        <v>173930415</v>
      </c>
      <c r="S22">
        <v>56203515</v>
      </c>
      <c r="U22">
        <v>4</v>
      </c>
      <c r="V22">
        <v>309</v>
      </c>
      <c r="W22">
        <v>32965</v>
      </c>
      <c r="X22">
        <v>166034</v>
      </c>
      <c r="AB22" s="100">
        <v>300</v>
      </c>
      <c r="AC22" s="190">
        <f t="shared" si="0"/>
        <v>1.7543859649122806E-2</v>
      </c>
      <c r="AD22" s="190">
        <f t="shared" si="1"/>
        <v>1.8518518518518517E-2</v>
      </c>
      <c r="AE22" s="190">
        <f t="shared" si="2"/>
        <v>1.0033444816053512E-2</v>
      </c>
      <c r="AF22" s="190">
        <f t="shared" si="3"/>
        <v>0.12</v>
      </c>
      <c r="AG22" s="190">
        <f t="shared" si="4"/>
        <v>0</v>
      </c>
      <c r="AI22" s="100">
        <v>300</v>
      </c>
      <c r="AJ22" s="190">
        <f t="shared" si="5"/>
        <v>2.0050125313283207E-2</v>
      </c>
      <c r="AK22" s="190">
        <f t="shared" si="6"/>
        <v>2.1604938271604937E-2</v>
      </c>
      <c r="AL22" s="190">
        <f t="shared" si="7"/>
        <v>2.0066889632107024E-2</v>
      </c>
      <c r="AM22" s="190">
        <f t="shared" si="8"/>
        <v>0.04</v>
      </c>
      <c r="AN22" s="190">
        <f t="shared" si="9"/>
        <v>0</v>
      </c>
      <c r="AP22" s="187">
        <v>5000000</v>
      </c>
      <c r="AQ22" s="190">
        <f t="shared" si="10"/>
        <v>2.7568922305764409E-2</v>
      </c>
      <c r="AR22" s="190">
        <f t="shared" si="11"/>
        <v>2.4691358024691357E-2</v>
      </c>
      <c r="AS22" s="190">
        <f t="shared" si="12"/>
        <v>1.6722408026755852E-2</v>
      </c>
      <c r="AT22" s="190">
        <f t="shared" si="13"/>
        <v>0.12</v>
      </c>
      <c r="AU22" s="190">
        <f t="shared" si="14"/>
        <v>0</v>
      </c>
      <c r="AW22" s="187">
        <v>500000</v>
      </c>
      <c r="AX22" s="190">
        <f t="shared" si="15"/>
        <v>2.5062656641604009E-2</v>
      </c>
      <c r="AY22" s="190">
        <f t="shared" si="16"/>
        <v>3.0864197530864196E-2</v>
      </c>
      <c r="AZ22" s="190">
        <f t="shared" si="17"/>
        <v>3.0100334448160536E-2</v>
      </c>
      <c r="BA22" s="190">
        <f t="shared" si="18"/>
        <v>0.04</v>
      </c>
      <c r="BB22" s="190">
        <f t="shared" si="19"/>
        <v>2.1739130434782608E-2</v>
      </c>
    </row>
    <row r="23" spans="1:54" x14ac:dyDescent="0.25">
      <c r="A23">
        <v>2</v>
      </c>
      <c r="B23">
        <v>7</v>
      </c>
      <c r="C23">
        <v>512</v>
      </c>
      <c r="D23">
        <v>24746</v>
      </c>
      <c r="F23">
        <v>2</v>
      </c>
      <c r="G23">
        <v>7</v>
      </c>
      <c r="H23">
        <v>512</v>
      </c>
      <c r="I23">
        <v>24746</v>
      </c>
      <c r="K23">
        <v>1</v>
      </c>
      <c r="L23">
        <v>1</v>
      </c>
      <c r="M23">
        <v>0</v>
      </c>
      <c r="N23">
        <v>108</v>
      </c>
      <c r="P23">
        <v>34</v>
      </c>
      <c r="Q23">
        <v>314</v>
      </c>
      <c r="R23">
        <v>3841838</v>
      </c>
      <c r="S23">
        <v>372234</v>
      </c>
      <c r="U23">
        <v>0</v>
      </c>
      <c r="V23">
        <v>1</v>
      </c>
      <c r="W23">
        <v>0</v>
      </c>
      <c r="X23">
        <v>14</v>
      </c>
      <c r="AB23" s="100">
        <v>400</v>
      </c>
      <c r="AC23" s="190">
        <f t="shared" si="0"/>
        <v>5.0125313283208017E-3</v>
      </c>
      <c r="AD23" s="190">
        <f t="shared" si="1"/>
        <v>3.0864197530864196E-3</v>
      </c>
      <c r="AE23" s="190">
        <f t="shared" si="2"/>
        <v>3.3444816053511705E-3</v>
      </c>
      <c r="AF23" s="190">
        <f t="shared" si="3"/>
        <v>0</v>
      </c>
      <c r="AG23" s="190">
        <f t="shared" si="4"/>
        <v>2.1739130434782608E-2</v>
      </c>
      <c r="AI23" s="100">
        <v>400</v>
      </c>
      <c r="AJ23" s="190">
        <f t="shared" si="5"/>
        <v>1.5037593984962405E-2</v>
      </c>
      <c r="AK23" s="190">
        <f t="shared" si="6"/>
        <v>1.2345679012345678E-2</v>
      </c>
      <c r="AL23" s="190">
        <f t="shared" si="7"/>
        <v>6.688963210702341E-3</v>
      </c>
      <c r="AM23" s="190">
        <f t="shared" si="8"/>
        <v>0.08</v>
      </c>
      <c r="AN23" s="190">
        <f t="shared" si="9"/>
        <v>2.1739130434782608E-2</v>
      </c>
      <c r="AP23" s="187">
        <v>7500000</v>
      </c>
      <c r="AQ23" s="190">
        <f t="shared" si="10"/>
        <v>1.0025062656641603E-2</v>
      </c>
      <c r="AR23" s="190">
        <f t="shared" si="11"/>
        <v>1.2345679012345678E-2</v>
      </c>
      <c r="AS23" s="190">
        <f t="shared" si="12"/>
        <v>1.0033444816053512E-2</v>
      </c>
      <c r="AT23" s="190">
        <f t="shared" si="13"/>
        <v>0.04</v>
      </c>
      <c r="AU23" s="190">
        <f t="shared" si="14"/>
        <v>0</v>
      </c>
      <c r="AW23" s="187">
        <v>1000000</v>
      </c>
      <c r="AX23" s="190">
        <f t="shared" si="15"/>
        <v>2.0050125313283207E-2</v>
      </c>
      <c r="AY23" s="190">
        <f t="shared" si="16"/>
        <v>2.4691358024691357E-2</v>
      </c>
      <c r="AZ23" s="190">
        <f t="shared" si="17"/>
        <v>2.3411371237458192E-2</v>
      </c>
      <c r="BA23" s="190">
        <f t="shared" si="18"/>
        <v>0.04</v>
      </c>
      <c r="BB23" s="190">
        <f t="shared" si="19"/>
        <v>0</v>
      </c>
    </row>
    <row r="24" spans="1:54" x14ac:dyDescent="0.25">
      <c r="A24">
        <v>70</v>
      </c>
      <c r="B24">
        <v>114</v>
      </c>
      <c r="C24">
        <v>5212447</v>
      </c>
      <c r="D24">
        <v>851328</v>
      </c>
      <c r="F24">
        <v>70</v>
      </c>
      <c r="G24">
        <v>114</v>
      </c>
      <c r="H24">
        <v>5212447</v>
      </c>
      <c r="I24">
        <v>851328</v>
      </c>
      <c r="K24">
        <v>1</v>
      </c>
      <c r="L24">
        <v>8</v>
      </c>
      <c r="M24">
        <v>25159</v>
      </c>
      <c r="N24">
        <v>18795</v>
      </c>
      <c r="P24">
        <v>2</v>
      </c>
      <c r="Q24">
        <v>4</v>
      </c>
      <c r="R24">
        <v>49143</v>
      </c>
      <c r="S24">
        <v>9845</v>
      </c>
      <c r="U24">
        <v>0</v>
      </c>
      <c r="V24">
        <v>1</v>
      </c>
      <c r="W24">
        <v>0</v>
      </c>
      <c r="X24">
        <v>2190</v>
      </c>
      <c r="AB24" s="100">
        <v>500</v>
      </c>
      <c r="AC24" s="190">
        <f t="shared" si="0"/>
        <v>7.5187969924812026E-3</v>
      </c>
      <c r="AD24" s="190">
        <f t="shared" si="1"/>
        <v>9.2592592592592587E-3</v>
      </c>
      <c r="AE24" s="190">
        <f t="shared" si="2"/>
        <v>1.0033444816053512E-2</v>
      </c>
      <c r="AF24" s="190">
        <f t="shared" si="3"/>
        <v>0</v>
      </c>
      <c r="AG24" s="190">
        <f t="shared" si="4"/>
        <v>0</v>
      </c>
      <c r="AI24" s="100">
        <v>500</v>
      </c>
      <c r="AJ24" s="190">
        <f t="shared" si="5"/>
        <v>1.5037593984962405E-2</v>
      </c>
      <c r="AK24" s="190">
        <f t="shared" si="6"/>
        <v>1.8518518518518517E-2</v>
      </c>
      <c r="AL24" s="190">
        <f t="shared" si="7"/>
        <v>1.6722408026755852E-2</v>
      </c>
      <c r="AM24" s="190">
        <f t="shared" si="8"/>
        <v>0.04</v>
      </c>
      <c r="AN24" s="190">
        <f t="shared" si="9"/>
        <v>0</v>
      </c>
      <c r="AP24" s="187">
        <v>10000000</v>
      </c>
      <c r="AQ24" s="190">
        <f t="shared" si="10"/>
        <v>1.5037593984962405E-2</v>
      </c>
      <c r="AR24" s="190">
        <f t="shared" si="11"/>
        <v>1.8518518518518517E-2</v>
      </c>
      <c r="AS24" s="190">
        <f t="shared" si="12"/>
        <v>1.3377926421404682E-2</v>
      </c>
      <c r="AT24" s="190">
        <f t="shared" si="13"/>
        <v>0.08</v>
      </c>
      <c r="AU24" s="190">
        <f t="shared" si="14"/>
        <v>0</v>
      </c>
      <c r="AW24" s="187">
        <v>5000000</v>
      </c>
      <c r="AX24" s="190">
        <f t="shared" si="15"/>
        <v>3.7593984962406013E-2</v>
      </c>
      <c r="AY24" s="190">
        <f t="shared" si="16"/>
        <v>4.6296296296296294E-2</v>
      </c>
      <c r="AZ24" s="190">
        <f t="shared" si="17"/>
        <v>3.3444816053511704E-2</v>
      </c>
      <c r="BA24" s="190">
        <f t="shared" si="18"/>
        <v>0.2</v>
      </c>
      <c r="BB24" s="190">
        <f t="shared" si="19"/>
        <v>4.3478260869565216E-2</v>
      </c>
    </row>
    <row r="25" spans="1:54" x14ac:dyDescent="0.25">
      <c r="A25">
        <v>1</v>
      </c>
      <c r="B25">
        <v>1</v>
      </c>
      <c r="C25">
        <v>0</v>
      </c>
      <c r="D25">
        <v>108</v>
      </c>
      <c r="F25">
        <v>1</v>
      </c>
      <c r="G25">
        <v>1</v>
      </c>
      <c r="H25">
        <v>0</v>
      </c>
      <c r="I25">
        <v>108</v>
      </c>
      <c r="K25">
        <v>1</v>
      </c>
      <c r="L25">
        <v>0</v>
      </c>
      <c r="M25">
        <v>0</v>
      </c>
      <c r="N25">
        <v>47</v>
      </c>
      <c r="P25">
        <v>0</v>
      </c>
      <c r="Q25">
        <v>20</v>
      </c>
      <c r="R25">
        <v>0</v>
      </c>
      <c r="S25">
        <v>32210</v>
      </c>
      <c r="U25">
        <v>0</v>
      </c>
      <c r="V25">
        <v>5</v>
      </c>
      <c r="W25">
        <v>17514</v>
      </c>
      <c r="X25">
        <v>0</v>
      </c>
      <c r="AB25" s="100">
        <v>1000</v>
      </c>
      <c r="AC25" s="190">
        <f t="shared" si="0"/>
        <v>1.5037593984962405E-2</v>
      </c>
      <c r="AD25" s="190">
        <f t="shared" si="1"/>
        <v>1.8518518518518517E-2</v>
      </c>
      <c r="AE25" s="190">
        <f t="shared" si="2"/>
        <v>6.688963210702341E-3</v>
      </c>
      <c r="AF25" s="190">
        <f t="shared" si="3"/>
        <v>0.16</v>
      </c>
      <c r="AG25" s="190">
        <f t="shared" si="4"/>
        <v>0</v>
      </c>
      <c r="AI25" s="100">
        <v>1000</v>
      </c>
      <c r="AJ25" s="190">
        <f t="shared" si="5"/>
        <v>2.5062656641604009E-2</v>
      </c>
      <c r="AK25" s="190">
        <f t="shared" si="6"/>
        <v>3.0864197530864196E-2</v>
      </c>
      <c r="AL25" s="190">
        <f t="shared" si="7"/>
        <v>2.3411371237458192E-2</v>
      </c>
      <c r="AM25" s="190">
        <f t="shared" si="8"/>
        <v>0.12</v>
      </c>
      <c r="AN25" s="190">
        <f t="shared" si="9"/>
        <v>0</v>
      </c>
      <c r="AP25" s="187">
        <v>100000000</v>
      </c>
      <c r="AQ25" s="190">
        <f t="shared" si="10"/>
        <v>5.2631578947368418E-2</v>
      </c>
      <c r="AR25" s="190">
        <f t="shared" si="11"/>
        <v>5.8641975308641972E-2</v>
      </c>
      <c r="AS25" s="190">
        <f t="shared" si="12"/>
        <v>4.0133779264214048E-2</v>
      </c>
      <c r="AT25" s="190">
        <f t="shared" si="13"/>
        <v>0.28000000000000003</v>
      </c>
      <c r="AU25" s="190">
        <f t="shared" si="14"/>
        <v>0</v>
      </c>
      <c r="AW25" s="187">
        <v>10000000</v>
      </c>
      <c r="AX25" s="190">
        <f t="shared" si="15"/>
        <v>2.0050125313283207E-2</v>
      </c>
      <c r="AY25" s="190">
        <f t="shared" si="16"/>
        <v>2.4691358024691357E-2</v>
      </c>
      <c r="AZ25" s="190">
        <f t="shared" si="17"/>
        <v>1.3377926421404682E-2</v>
      </c>
      <c r="BA25" s="190">
        <f t="shared" si="18"/>
        <v>0.16</v>
      </c>
      <c r="BB25" s="190">
        <f t="shared" si="19"/>
        <v>0</v>
      </c>
    </row>
    <row r="26" spans="1:54" x14ac:dyDescent="0.25">
      <c r="A26">
        <v>1</v>
      </c>
      <c r="B26">
        <v>8</v>
      </c>
      <c r="C26">
        <v>25159</v>
      </c>
      <c r="D26">
        <v>18795</v>
      </c>
      <c r="F26">
        <v>1</v>
      </c>
      <c r="G26">
        <v>8</v>
      </c>
      <c r="H26">
        <v>25159</v>
      </c>
      <c r="I26">
        <v>18795</v>
      </c>
      <c r="K26">
        <v>25</v>
      </c>
      <c r="L26">
        <v>24</v>
      </c>
      <c r="M26">
        <v>702624</v>
      </c>
      <c r="N26">
        <v>412905</v>
      </c>
      <c r="P26">
        <v>0</v>
      </c>
      <c r="Q26">
        <v>1</v>
      </c>
      <c r="R26">
        <v>8684</v>
      </c>
      <c r="S26">
        <v>1</v>
      </c>
      <c r="U26">
        <v>0</v>
      </c>
      <c r="V26">
        <v>1</v>
      </c>
      <c r="W26">
        <v>0</v>
      </c>
      <c r="X26">
        <v>260</v>
      </c>
      <c r="AB26" s="100">
        <v>2000</v>
      </c>
      <c r="AC26" s="190">
        <f t="shared" si="0"/>
        <v>5.0125313283208017E-3</v>
      </c>
      <c r="AD26" s="190">
        <f t="shared" si="1"/>
        <v>6.1728395061728392E-3</v>
      </c>
      <c r="AE26" s="190">
        <f t="shared" si="2"/>
        <v>6.688963210702341E-3</v>
      </c>
      <c r="AF26" s="190">
        <f t="shared" si="3"/>
        <v>0</v>
      </c>
      <c r="AG26" s="190">
        <f t="shared" si="4"/>
        <v>0</v>
      </c>
      <c r="AI26" s="100">
        <v>2000</v>
      </c>
      <c r="AJ26" s="190">
        <f t="shared" si="5"/>
        <v>2.5062656641604009E-3</v>
      </c>
      <c r="AK26" s="190">
        <f t="shared" si="6"/>
        <v>3.0864197530864196E-3</v>
      </c>
      <c r="AL26" s="190">
        <f t="shared" si="7"/>
        <v>0</v>
      </c>
      <c r="AM26" s="190">
        <f t="shared" si="8"/>
        <v>0.04</v>
      </c>
      <c r="AN26" s="190">
        <f t="shared" si="9"/>
        <v>0</v>
      </c>
      <c r="AP26" s="86" t="s">
        <v>5137</v>
      </c>
      <c r="AQ26" s="190">
        <f>COUNTIFS($C$9:$C$600,"&gt;"&amp;$AP25)/$AQ$7</f>
        <v>2.0050125313283207E-2</v>
      </c>
      <c r="AR26" s="190">
        <f>COUNTIFS($H$9:$H$600,"&gt;"&amp;$AP25)/$AR$7</f>
        <v>2.4691358024691357E-2</v>
      </c>
      <c r="AS26" s="190">
        <f>COUNTIFS($M$9:$M$600,"&gt;"&amp;$AP25)/$AS$7</f>
        <v>1.3377926421404682E-2</v>
      </c>
      <c r="AT26" s="190">
        <f>COUNTIFS($R$9:$R$600,"&gt;"&amp;$AP25)/$AT$7</f>
        <v>0.16</v>
      </c>
      <c r="AU26" s="190">
        <f>COUNTIFS($V$9:$V$600,"&gt;"&amp;$AP25)/$AU$7</f>
        <v>0</v>
      </c>
      <c r="AW26" s="187" t="s">
        <v>5137</v>
      </c>
      <c r="AX26" s="190">
        <f>COUNTIFS($D$9:$D$600,"&gt;"&amp;$AW25)/$AX$7</f>
        <v>2.7568922305764409E-2</v>
      </c>
      <c r="AY26" s="190">
        <f>COUNTIFS($I$9:$I$600,"&gt;"&amp;$AW25)/$AY$7</f>
        <v>2.7777777777777776E-2</v>
      </c>
      <c r="AZ26" s="190">
        <f>COUNTIFS($N$9:$N$600,"&gt;"&amp;$AW25)/$AZ$7</f>
        <v>1.3377926421404682E-2</v>
      </c>
      <c r="BA26" s="190">
        <f>COUNTIFS($S$9:$S$600,"&gt;"&amp;$AW25)/$BA$7</f>
        <v>0.2</v>
      </c>
      <c r="BB26" s="190">
        <f>COUNTIFS($W$9:$W$600,"&gt;"&amp;$AW25)/$BB$7</f>
        <v>2.1739130434782608E-2</v>
      </c>
    </row>
    <row r="27" spans="1:54" x14ac:dyDescent="0.25">
      <c r="A27">
        <v>1</v>
      </c>
      <c r="B27">
        <v>0</v>
      </c>
      <c r="C27">
        <v>0</v>
      </c>
      <c r="D27">
        <v>47</v>
      </c>
      <c r="F27">
        <v>1</v>
      </c>
      <c r="G27">
        <v>0</v>
      </c>
      <c r="H27">
        <v>0</v>
      </c>
      <c r="I27">
        <v>47</v>
      </c>
      <c r="K27">
        <v>34</v>
      </c>
      <c r="L27">
        <v>7</v>
      </c>
      <c r="M27">
        <v>6261260</v>
      </c>
      <c r="N27">
        <v>2318617</v>
      </c>
      <c r="P27">
        <v>257</v>
      </c>
      <c r="Q27">
        <v>415</v>
      </c>
      <c r="R27">
        <v>62789915</v>
      </c>
      <c r="S27">
        <v>18308687</v>
      </c>
      <c r="U27">
        <v>0</v>
      </c>
      <c r="V27">
        <v>5</v>
      </c>
      <c r="W27">
        <v>7475</v>
      </c>
      <c r="X27">
        <v>0</v>
      </c>
      <c r="AB27" s="100">
        <v>3000</v>
      </c>
      <c r="AC27" s="190">
        <f t="shared" si="0"/>
        <v>0</v>
      </c>
      <c r="AD27" s="190">
        <f t="shared" si="1"/>
        <v>0</v>
      </c>
      <c r="AE27" s="190">
        <f t="shared" si="2"/>
        <v>0</v>
      </c>
      <c r="AF27" s="190">
        <f t="shared" si="3"/>
        <v>0</v>
      </c>
      <c r="AG27" s="190">
        <f t="shared" si="4"/>
        <v>0</v>
      </c>
      <c r="AI27" s="100">
        <v>3000</v>
      </c>
      <c r="AJ27" s="190">
        <f t="shared" si="5"/>
        <v>2.5062656641604009E-3</v>
      </c>
      <c r="AK27" s="190">
        <f t="shared" si="6"/>
        <v>3.0864197530864196E-3</v>
      </c>
      <c r="AL27" s="190">
        <f t="shared" si="7"/>
        <v>3.3444816053511705E-3</v>
      </c>
      <c r="AM27" s="190">
        <f t="shared" si="8"/>
        <v>0</v>
      </c>
      <c r="AN27" s="190">
        <f t="shared" si="9"/>
        <v>0</v>
      </c>
    </row>
    <row r="28" spans="1:54" x14ac:dyDescent="0.25">
      <c r="A28">
        <v>25</v>
      </c>
      <c r="B28">
        <v>24</v>
      </c>
      <c r="C28">
        <v>702624</v>
      </c>
      <c r="D28">
        <v>412905</v>
      </c>
      <c r="F28">
        <v>25</v>
      </c>
      <c r="G28">
        <v>24</v>
      </c>
      <c r="H28">
        <v>702624</v>
      </c>
      <c r="I28">
        <v>412905</v>
      </c>
      <c r="K28">
        <v>62</v>
      </c>
      <c r="L28">
        <v>6</v>
      </c>
      <c r="M28">
        <v>9171846</v>
      </c>
      <c r="N28">
        <v>5114455</v>
      </c>
      <c r="P28">
        <v>147</v>
      </c>
      <c r="Q28">
        <v>125</v>
      </c>
      <c r="R28">
        <v>21510113</v>
      </c>
      <c r="S28">
        <v>3905038</v>
      </c>
      <c r="U28">
        <v>0</v>
      </c>
      <c r="V28">
        <v>10</v>
      </c>
      <c r="W28">
        <v>62710</v>
      </c>
      <c r="X28">
        <v>30</v>
      </c>
      <c r="AB28" s="100">
        <v>4000</v>
      </c>
      <c r="AC28" s="190">
        <f t="shared" si="0"/>
        <v>0</v>
      </c>
      <c r="AD28" s="190">
        <f t="shared" si="1"/>
        <v>0</v>
      </c>
      <c r="AE28" s="190">
        <f t="shared" si="2"/>
        <v>0</v>
      </c>
      <c r="AF28" s="190">
        <f t="shared" si="3"/>
        <v>0</v>
      </c>
      <c r="AG28" s="190">
        <f t="shared" si="4"/>
        <v>0</v>
      </c>
      <c r="AI28" s="100">
        <v>4000</v>
      </c>
      <c r="AJ28" s="190">
        <f t="shared" si="5"/>
        <v>0</v>
      </c>
      <c r="AK28" s="190">
        <f t="shared" si="6"/>
        <v>0</v>
      </c>
      <c r="AL28" s="190">
        <f t="shared" si="7"/>
        <v>0</v>
      </c>
      <c r="AM28" s="190">
        <f t="shared" si="8"/>
        <v>0</v>
      </c>
      <c r="AN28" s="190">
        <f t="shared" si="9"/>
        <v>0</v>
      </c>
    </row>
    <row r="29" spans="1:54" x14ac:dyDescent="0.25">
      <c r="A29">
        <v>34</v>
      </c>
      <c r="B29">
        <v>7</v>
      </c>
      <c r="C29">
        <v>6261260</v>
      </c>
      <c r="D29">
        <v>2318617</v>
      </c>
      <c r="F29">
        <v>34</v>
      </c>
      <c r="G29">
        <v>7</v>
      </c>
      <c r="H29">
        <v>6261260</v>
      </c>
      <c r="I29">
        <v>2318617</v>
      </c>
      <c r="K29">
        <v>2</v>
      </c>
      <c r="L29">
        <v>7</v>
      </c>
      <c r="M29">
        <v>90940</v>
      </c>
      <c r="N29">
        <v>0</v>
      </c>
      <c r="P29">
        <v>30</v>
      </c>
      <c r="Q29">
        <v>5</v>
      </c>
      <c r="R29">
        <v>4919438</v>
      </c>
      <c r="S29">
        <v>3646806</v>
      </c>
      <c r="U29">
        <v>0</v>
      </c>
      <c r="V29">
        <v>1</v>
      </c>
      <c r="W29">
        <v>0</v>
      </c>
      <c r="X29">
        <v>15</v>
      </c>
      <c r="AB29" s="100">
        <v>5000</v>
      </c>
      <c r="AC29" s="190">
        <f t="shared" si="0"/>
        <v>0</v>
      </c>
      <c r="AD29" s="190">
        <f t="shared" si="1"/>
        <v>0</v>
      </c>
      <c r="AE29" s="190">
        <f t="shared" si="2"/>
        <v>0</v>
      </c>
      <c r="AF29" s="190">
        <f t="shared" si="3"/>
        <v>0</v>
      </c>
      <c r="AG29" s="190">
        <f t="shared" si="4"/>
        <v>0</v>
      </c>
      <c r="AI29" s="100">
        <v>5000</v>
      </c>
      <c r="AJ29" s="190">
        <f t="shared" si="5"/>
        <v>0</v>
      </c>
      <c r="AK29" s="190">
        <f t="shared" si="6"/>
        <v>0</v>
      </c>
      <c r="AL29" s="190">
        <f t="shared" si="7"/>
        <v>0</v>
      </c>
      <c r="AM29" s="190">
        <f t="shared" si="8"/>
        <v>0</v>
      </c>
      <c r="AN29" s="190">
        <f t="shared" si="9"/>
        <v>0</v>
      </c>
    </row>
    <row r="30" spans="1:54" x14ac:dyDescent="0.25">
      <c r="A30">
        <v>62</v>
      </c>
      <c r="B30">
        <v>6</v>
      </c>
      <c r="C30">
        <v>9171846</v>
      </c>
      <c r="D30">
        <v>5114455</v>
      </c>
      <c r="F30">
        <v>62</v>
      </c>
      <c r="G30">
        <v>6</v>
      </c>
      <c r="H30">
        <v>9171846</v>
      </c>
      <c r="I30">
        <v>5114455</v>
      </c>
      <c r="K30">
        <v>21</v>
      </c>
      <c r="L30">
        <v>18</v>
      </c>
      <c r="M30">
        <v>484424</v>
      </c>
      <c r="N30">
        <v>186743</v>
      </c>
      <c r="P30">
        <v>126</v>
      </c>
      <c r="Q30">
        <v>18</v>
      </c>
      <c r="R30">
        <v>57778018</v>
      </c>
      <c r="S30">
        <v>5336279</v>
      </c>
      <c r="U30">
        <v>0</v>
      </c>
      <c r="V30">
        <v>8</v>
      </c>
      <c r="W30">
        <v>130302</v>
      </c>
      <c r="X30">
        <v>11092</v>
      </c>
      <c r="AB30" s="86" t="s">
        <v>5137</v>
      </c>
      <c r="AC30" s="190">
        <f>COUNTIFS($A$9:$A$600,"&gt;"&amp;$AB29)/$AC$7</f>
        <v>2.5062656641604009E-3</v>
      </c>
      <c r="AD30" s="190">
        <f>COUNTIFS($F$9:$F$600,"&gt;"&amp;$AB29)/$AD$7</f>
        <v>3.0864197530864196E-3</v>
      </c>
      <c r="AE30" s="190">
        <f>COUNTIFS($K$9:$K$600,"&gt;"&amp;$AB29)/$AE$7</f>
        <v>0</v>
      </c>
      <c r="AF30" s="190">
        <f>COUNTIFS($P$9:$P$600,"&gt;"&amp;$AB29)/$AF$7</f>
        <v>0.04</v>
      </c>
      <c r="AG30" s="190">
        <f>COUNTIFS($U$9:$U$600,"&gt;"&amp;$AB29)/$AG$7</f>
        <v>0</v>
      </c>
      <c r="AI30" s="86" t="s">
        <v>5137</v>
      </c>
      <c r="AJ30" s="190">
        <f>COUNTIFS($B$9:$B$600,"&gt;"&amp;$AI29)/$AJ$7</f>
        <v>2.5062656641604009E-3</v>
      </c>
      <c r="AK30" s="190">
        <f>COUNTIFS($G$9:$G$600,"&gt;"&amp;$AI29)/$AK$7</f>
        <v>3.0864197530864196E-3</v>
      </c>
      <c r="AL30" s="190">
        <f>COUNTIFS($L$9:$L$600,"&gt;"&amp;$AI29)/$AL$7</f>
        <v>0</v>
      </c>
      <c r="AM30" s="190">
        <f>COUNTIFS($Q$9:$Q$600,"&gt;"&amp;$AI29)/$AM$7</f>
        <v>0.04</v>
      </c>
      <c r="AN30" s="190">
        <f>COUNTIFS($U$9:$U$600,"&gt;"&amp;$AI29)/$AN$7</f>
        <v>0</v>
      </c>
    </row>
    <row r="31" spans="1:54" x14ac:dyDescent="0.25">
      <c r="A31">
        <v>2</v>
      </c>
      <c r="B31">
        <v>7</v>
      </c>
      <c r="C31">
        <v>90940</v>
      </c>
      <c r="D31">
        <v>0</v>
      </c>
      <c r="F31">
        <v>2</v>
      </c>
      <c r="G31">
        <v>7</v>
      </c>
      <c r="H31">
        <v>90940</v>
      </c>
      <c r="I31">
        <v>0</v>
      </c>
      <c r="K31">
        <v>93</v>
      </c>
      <c r="L31">
        <v>74</v>
      </c>
      <c r="M31">
        <v>13326277</v>
      </c>
      <c r="N31">
        <v>3866540</v>
      </c>
      <c r="P31">
        <v>1</v>
      </c>
      <c r="Q31">
        <v>0</v>
      </c>
      <c r="R31">
        <v>136364</v>
      </c>
      <c r="S31">
        <v>30959</v>
      </c>
      <c r="U31">
        <v>0</v>
      </c>
      <c r="V31">
        <v>5</v>
      </c>
      <c r="W31">
        <v>0</v>
      </c>
      <c r="X31">
        <v>1253</v>
      </c>
    </row>
    <row r="32" spans="1:54" x14ac:dyDescent="0.25">
      <c r="A32">
        <v>21</v>
      </c>
      <c r="B32">
        <v>18</v>
      </c>
      <c r="C32">
        <v>484424</v>
      </c>
      <c r="D32">
        <v>186743</v>
      </c>
      <c r="F32">
        <v>21</v>
      </c>
      <c r="G32">
        <v>18</v>
      </c>
      <c r="H32">
        <v>484424</v>
      </c>
      <c r="I32">
        <v>186743</v>
      </c>
      <c r="K32">
        <v>1</v>
      </c>
      <c r="L32">
        <v>7</v>
      </c>
      <c r="M32">
        <v>48752</v>
      </c>
      <c r="N32">
        <v>3599</v>
      </c>
      <c r="P32">
        <v>4</v>
      </c>
      <c r="Q32">
        <v>0</v>
      </c>
      <c r="R32">
        <v>1072563</v>
      </c>
      <c r="S32">
        <v>233492</v>
      </c>
      <c r="U32">
        <v>2</v>
      </c>
      <c r="V32">
        <v>1</v>
      </c>
      <c r="W32">
        <v>3895</v>
      </c>
      <c r="X32">
        <v>0</v>
      </c>
    </row>
    <row r="33" spans="1:24" x14ac:dyDescent="0.25">
      <c r="A33">
        <v>93</v>
      </c>
      <c r="B33">
        <v>74</v>
      </c>
      <c r="C33">
        <v>13326277</v>
      </c>
      <c r="D33">
        <v>3866540</v>
      </c>
      <c r="F33">
        <v>93</v>
      </c>
      <c r="G33">
        <v>74</v>
      </c>
      <c r="H33">
        <v>13326277</v>
      </c>
      <c r="I33">
        <v>3866540</v>
      </c>
      <c r="K33">
        <v>251</v>
      </c>
      <c r="L33">
        <v>161</v>
      </c>
      <c r="M33">
        <v>26190309</v>
      </c>
      <c r="N33">
        <v>3918304</v>
      </c>
      <c r="P33">
        <v>64</v>
      </c>
      <c r="Q33">
        <v>20</v>
      </c>
      <c r="R33">
        <v>4016686</v>
      </c>
      <c r="S33">
        <v>6215</v>
      </c>
      <c r="U33">
        <v>0</v>
      </c>
      <c r="V33">
        <v>5</v>
      </c>
      <c r="W33">
        <v>48181</v>
      </c>
      <c r="X33">
        <v>1511</v>
      </c>
    </row>
    <row r="34" spans="1:24" x14ac:dyDescent="0.25">
      <c r="A34">
        <v>1</v>
      </c>
      <c r="B34">
        <v>7</v>
      </c>
      <c r="C34">
        <v>48752</v>
      </c>
      <c r="D34">
        <v>3599</v>
      </c>
      <c r="F34">
        <v>1</v>
      </c>
      <c r="G34">
        <v>7</v>
      </c>
      <c r="H34">
        <v>48752</v>
      </c>
      <c r="I34">
        <v>3599</v>
      </c>
      <c r="K34">
        <v>207</v>
      </c>
      <c r="L34">
        <v>22</v>
      </c>
      <c r="M34">
        <v>79945855</v>
      </c>
      <c r="N34">
        <v>12679515</v>
      </c>
      <c r="U34">
        <v>0</v>
      </c>
      <c r="V34">
        <v>2</v>
      </c>
      <c r="W34">
        <v>6934</v>
      </c>
      <c r="X34">
        <v>1694</v>
      </c>
    </row>
    <row r="35" spans="1:24" x14ac:dyDescent="0.25">
      <c r="A35">
        <v>251</v>
      </c>
      <c r="B35">
        <v>161</v>
      </c>
      <c r="C35">
        <v>26190309</v>
      </c>
      <c r="D35">
        <v>3918304</v>
      </c>
      <c r="F35">
        <v>251</v>
      </c>
      <c r="G35">
        <v>161</v>
      </c>
      <c r="H35">
        <v>26190309</v>
      </c>
      <c r="I35">
        <v>3918304</v>
      </c>
      <c r="K35">
        <v>13</v>
      </c>
      <c r="L35">
        <v>24</v>
      </c>
      <c r="M35">
        <v>387548</v>
      </c>
      <c r="N35">
        <v>165186</v>
      </c>
      <c r="U35">
        <v>0</v>
      </c>
      <c r="V35">
        <v>6</v>
      </c>
      <c r="W35">
        <v>0</v>
      </c>
      <c r="X35">
        <v>49</v>
      </c>
    </row>
    <row r="36" spans="1:24" x14ac:dyDescent="0.25">
      <c r="A36">
        <v>207</v>
      </c>
      <c r="B36">
        <v>22</v>
      </c>
      <c r="C36">
        <v>79945855</v>
      </c>
      <c r="D36">
        <v>12679515</v>
      </c>
      <c r="F36">
        <v>207</v>
      </c>
      <c r="G36">
        <v>22</v>
      </c>
      <c r="H36">
        <v>79945855</v>
      </c>
      <c r="I36">
        <v>12679515</v>
      </c>
      <c r="K36">
        <v>1</v>
      </c>
      <c r="L36">
        <v>0</v>
      </c>
      <c r="M36">
        <v>0</v>
      </c>
      <c r="N36">
        <v>1242</v>
      </c>
      <c r="U36">
        <v>1</v>
      </c>
      <c r="V36">
        <v>12</v>
      </c>
      <c r="W36">
        <v>48150</v>
      </c>
      <c r="X36">
        <v>10602</v>
      </c>
    </row>
    <row r="37" spans="1:24" x14ac:dyDescent="0.25">
      <c r="A37">
        <v>13</v>
      </c>
      <c r="B37">
        <v>24</v>
      </c>
      <c r="C37">
        <v>387548</v>
      </c>
      <c r="D37">
        <v>165186</v>
      </c>
      <c r="F37">
        <v>13</v>
      </c>
      <c r="G37">
        <v>24</v>
      </c>
      <c r="H37">
        <v>387548</v>
      </c>
      <c r="I37">
        <v>165186</v>
      </c>
      <c r="K37">
        <v>7</v>
      </c>
      <c r="L37">
        <v>11</v>
      </c>
      <c r="M37">
        <v>573948</v>
      </c>
      <c r="N37">
        <v>1215</v>
      </c>
      <c r="U37">
        <v>6</v>
      </c>
      <c r="V37">
        <v>33</v>
      </c>
      <c r="W37">
        <v>208363</v>
      </c>
      <c r="X37">
        <v>401</v>
      </c>
    </row>
    <row r="38" spans="1:24" x14ac:dyDescent="0.25">
      <c r="A38">
        <v>1</v>
      </c>
      <c r="B38">
        <v>0</v>
      </c>
      <c r="C38">
        <v>0</v>
      </c>
      <c r="D38">
        <v>1242</v>
      </c>
      <c r="F38">
        <v>1</v>
      </c>
      <c r="G38">
        <v>0</v>
      </c>
      <c r="H38">
        <v>0</v>
      </c>
      <c r="I38">
        <v>1242</v>
      </c>
      <c r="K38">
        <v>155</v>
      </c>
      <c r="L38">
        <v>289</v>
      </c>
      <c r="M38">
        <v>8482729</v>
      </c>
      <c r="N38">
        <v>702657</v>
      </c>
      <c r="U38">
        <v>0</v>
      </c>
      <c r="V38">
        <v>1</v>
      </c>
      <c r="W38">
        <v>10402</v>
      </c>
      <c r="X38">
        <v>0</v>
      </c>
    </row>
    <row r="39" spans="1:24" x14ac:dyDescent="0.25">
      <c r="A39">
        <v>732</v>
      </c>
      <c r="B39">
        <v>292</v>
      </c>
      <c r="C39">
        <v>154063065</v>
      </c>
      <c r="D39">
        <v>43484820</v>
      </c>
      <c r="F39">
        <v>732</v>
      </c>
      <c r="G39">
        <v>292</v>
      </c>
      <c r="H39">
        <v>154063065</v>
      </c>
      <c r="I39">
        <v>43484820</v>
      </c>
      <c r="K39">
        <v>0</v>
      </c>
      <c r="L39">
        <v>1</v>
      </c>
      <c r="M39">
        <v>10596</v>
      </c>
      <c r="N39">
        <v>0</v>
      </c>
      <c r="U39">
        <v>2</v>
      </c>
      <c r="V39">
        <v>19</v>
      </c>
      <c r="W39">
        <v>115958</v>
      </c>
      <c r="X39">
        <v>3228</v>
      </c>
    </row>
    <row r="40" spans="1:24" x14ac:dyDescent="0.25">
      <c r="A40">
        <v>7</v>
      </c>
      <c r="B40">
        <v>11</v>
      </c>
      <c r="C40">
        <v>573948</v>
      </c>
      <c r="D40">
        <v>1215</v>
      </c>
      <c r="F40">
        <v>7</v>
      </c>
      <c r="G40">
        <v>11</v>
      </c>
      <c r="H40">
        <v>573948</v>
      </c>
      <c r="I40">
        <v>1215</v>
      </c>
      <c r="K40">
        <v>1</v>
      </c>
      <c r="L40">
        <v>10</v>
      </c>
      <c r="M40">
        <v>25644</v>
      </c>
      <c r="N40">
        <v>23565</v>
      </c>
      <c r="U40">
        <v>0</v>
      </c>
      <c r="V40">
        <v>3</v>
      </c>
      <c r="W40">
        <v>0</v>
      </c>
      <c r="X40">
        <v>355</v>
      </c>
    </row>
    <row r="41" spans="1:24" x14ac:dyDescent="0.25">
      <c r="A41">
        <v>259</v>
      </c>
      <c r="B41">
        <v>644</v>
      </c>
      <c r="C41">
        <v>23061329</v>
      </c>
      <c r="D41">
        <v>5713944</v>
      </c>
      <c r="F41">
        <v>259</v>
      </c>
      <c r="G41">
        <v>644</v>
      </c>
      <c r="H41">
        <v>23061329</v>
      </c>
      <c r="I41">
        <v>5713944</v>
      </c>
      <c r="K41">
        <v>1</v>
      </c>
      <c r="L41">
        <v>1</v>
      </c>
      <c r="M41">
        <v>67825</v>
      </c>
      <c r="N41">
        <v>1805</v>
      </c>
      <c r="U41">
        <v>4</v>
      </c>
      <c r="V41">
        <v>30</v>
      </c>
      <c r="W41">
        <v>261289</v>
      </c>
      <c r="X41">
        <v>0</v>
      </c>
    </row>
    <row r="42" spans="1:24" x14ac:dyDescent="0.25">
      <c r="A42">
        <v>155</v>
      </c>
      <c r="B42">
        <v>289</v>
      </c>
      <c r="C42">
        <v>8482729</v>
      </c>
      <c r="D42">
        <v>702657</v>
      </c>
      <c r="F42">
        <v>155</v>
      </c>
      <c r="G42">
        <v>289</v>
      </c>
      <c r="H42">
        <v>8482729</v>
      </c>
      <c r="I42">
        <v>702657</v>
      </c>
      <c r="K42">
        <v>0</v>
      </c>
      <c r="L42">
        <v>12</v>
      </c>
      <c r="M42">
        <v>0</v>
      </c>
      <c r="N42">
        <v>1822</v>
      </c>
      <c r="U42">
        <v>0</v>
      </c>
      <c r="V42">
        <v>1</v>
      </c>
      <c r="W42">
        <v>181</v>
      </c>
      <c r="X42">
        <v>0</v>
      </c>
    </row>
    <row r="43" spans="1:24" x14ac:dyDescent="0.25">
      <c r="A43">
        <v>2</v>
      </c>
      <c r="B43">
        <v>11</v>
      </c>
      <c r="C43">
        <v>30650</v>
      </c>
      <c r="D43">
        <v>10967</v>
      </c>
      <c r="F43">
        <v>2</v>
      </c>
      <c r="G43">
        <v>11</v>
      </c>
      <c r="H43">
        <v>30650</v>
      </c>
      <c r="I43">
        <v>10967</v>
      </c>
      <c r="K43">
        <v>138</v>
      </c>
      <c r="L43">
        <v>854</v>
      </c>
      <c r="M43">
        <v>12463847</v>
      </c>
      <c r="N43">
        <v>109704</v>
      </c>
      <c r="U43">
        <v>0</v>
      </c>
      <c r="V43">
        <v>62</v>
      </c>
      <c r="W43">
        <v>0</v>
      </c>
      <c r="X43">
        <v>20194</v>
      </c>
    </row>
    <row r="44" spans="1:24" x14ac:dyDescent="0.25">
      <c r="A44">
        <v>0</v>
      </c>
      <c r="B44">
        <v>1</v>
      </c>
      <c r="C44">
        <v>10596</v>
      </c>
      <c r="D44">
        <v>0</v>
      </c>
      <c r="F44">
        <v>0</v>
      </c>
      <c r="G44">
        <v>1</v>
      </c>
      <c r="H44">
        <v>10596</v>
      </c>
      <c r="I44">
        <v>0</v>
      </c>
      <c r="K44">
        <v>7</v>
      </c>
      <c r="L44">
        <v>10</v>
      </c>
      <c r="M44">
        <v>275869</v>
      </c>
      <c r="N44">
        <v>43840</v>
      </c>
      <c r="U44">
        <v>0</v>
      </c>
      <c r="V44">
        <v>18</v>
      </c>
      <c r="W44">
        <v>0</v>
      </c>
      <c r="X44">
        <v>2245</v>
      </c>
    </row>
    <row r="45" spans="1:24" x14ac:dyDescent="0.25">
      <c r="A45">
        <v>1</v>
      </c>
      <c r="B45">
        <v>10</v>
      </c>
      <c r="C45">
        <v>25644</v>
      </c>
      <c r="D45">
        <v>23565</v>
      </c>
      <c r="F45">
        <v>1</v>
      </c>
      <c r="G45">
        <v>10</v>
      </c>
      <c r="H45">
        <v>25644</v>
      </c>
      <c r="I45">
        <v>23565</v>
      </c>
      <c r="K45">
        <v>0</v>
      </c>
      <c r="L45">
        <v>27</v>
      </c>
      <c r="M45">
        <v>66098</v>
      </c>
      <c r="N45">
        <v>18460</v>
      </c>
      <c r="U45">
        <v>0</v>
      </c>
      <c r="V45">
        <v>29</v>
      </c>
      <c r="W45">
        <v>18528</v>
      </c>
      <c r="X45">
        <v>2505</v>
      </c>
    </row>
    <row r="46" spans="1:24" x14ac:dyDescent="0.25">
      <c r="A46">
        <v>844</v>
      </c>
      <c r="B46">
        <v>392</v>
      </c>
      <c r="C46">
        <v>191597016</v>
      </c>
      <c r="D46">
        <v>50174674</v>
      </c>
      <c r="F46">
        <v>844</v>
      </c>
      <c r="G46">
        <v>392</v>
      </c>
      <c r="H46">
        <v>191597016</v>
      </c>
      <c r="I46">
        <v>50174674</v>
      </c>
      <c r="K46">
        <v>35</v>
      </c>
      <c r="L46">
        <v>58</v>
      </c>
      <c r="M46">
        <v>1712800</v>
      </c>
      <c r="N46">
        <v>30933</v>
      </c>
      <c r="U46">
        <v>0</v>
      </c>
      <c r="V46">
        <v>1</v>
      </c>
      <c r="W46">
        <v>10444</v>
      </c>
      <c r="X46">
        <v>0</v>
      </c>
    </row>
    <row r="47" spans="1:24" x14ac:dyDescent="0.25">
      <c r="A47">
        <v>1</v>
      </c>
      <c r="B47">
        <v>1</v>
      </c>
      <c r="C47">
        <v>67825</v>
      </c>
      <c r="D47">
        <v>1805</v>
      </c>
      <c r="F47">
        <v>1</v>
      </c>
      <c r="G47">
        <v>1</v>
      </c>
      <c r="H47">
        <v>67825</v>
      </c>
      <c r="I47">
        <v>1805</v>
      </c>
      <c r="K47">
        <v>1</v>
      </c>
      <c r="L47">
        <v>4</v>
      </c>
      <c r="M47">
        <v>124101</v>
      </c>
      <c r="N47">
        <v>7465</v>
      </c>
      <c r="U47">
        <v>0</v>
      </c>
      <c r="V47">
        <v>3</v>
      </c>
      <c r="W47">
        <v>1930</v>
      </c>
      <c r="X47">
        <v>4491</v>
      </c>
    </row>
    <row r="48" spans="1:24" x14ac:dyDescent="0.25">
      <c r="A48">
        <v>0</v>
      </c>
      <c r="B48">
        <v>12</v>
      </c>
      <c r="C48">
        <v>0</v>
      </c>
      <c r="D48">
        <v>1822</v>
      </c>
      <c r="F48">
        <v>0</v>
      </c>
      <c r="G48">
        <v>12</v>
      </c>
      <c r="H48">
        <v>0</v>
      </c>
      <c r="I48">
        <v>1822</v>
      </c>
      <c r="K48">
        <v>377</v>
      </c>
      <c r="L48">
        <v>440</v>
      </c>
      <c r="M48">
        <v>37662797</v>
      </c>
      <c r="N48">
        <v>5343970</v>
      </c>
      <c r="U48">
        <v>2</v>
      </c>
      <c r="V48">
        <v>8</v>
      </c>
      <c r="W48">
        <v>37580</v>
      </c>
      <c r="X48">
        <v>216</v>
      </c>
    </row>
    <row r="49" spans="1:24" x14ac:dyDescent="0.25">
      <c r="A49">
        <v>138</v>
      </c>
      <c r="B49">
        <v>854</v>
      </c>
      <c r="C49">
        <v>12463847</v>
      </c>
      <c r="D49">
        <v>109704</v>
      </c>
      <c r="F49">
        <v>138</v>
      </c>
      <c r="G49">
        <v>854</v>
      </c>
      <c r="H49">
        <v>12463847</v>
      </c>
      <c r="I49">
        <v>109704</v>
      </c>
      <c r="K49">
        <v>0</v>
      </c>
      <c r="L49">
        <v>11</v>
      </c>
      <c r="M49">
        <v>7680</v>
      </c>
      <c r="N49">
        <v>1833</v>
      </c>
      <c r="U49">
        <v>6</v>
      </c>
      <c r="V49">
        <v>4</v>
      </c>
      <c r="W49">
        <v>140844</v>
      </c>
      <c r="X49">
        <v>1338</v>
      </c>
    </row>
    <row r="50" spans="1:24" x14ac:dyDescent="0.25">
      <c r="A50">
        <v>7</v>
      </c>
      <c r="B50">
        <v>10</v>
      </c>
      <c r="C50">
        <v>275869</v>
      </c>
      <c r="D50">
        <v>43840</v>
      </c>
      <c r="F50">
        <v>7</v>
      </c>
      <c r="G50">
        <v>10</v>
      </c>
      <c r="H50">
        <v>275869</v>
      </c>
      <c r="I50">
        <v>43840</v>
      </c>
      <c r="K50">
        <v>1</v>
      </c>
      <c r="L50">
        <v>0</v>
      </c>
      <c r="M50">
        <v>0</v>
      </c>
      <c r="N50">
        <v>14</v>
      </c>
      <c r="U50">
        <v>0</v>
      </c>
      <c r="V50">
        <v>4</v>
      </c>
      <c r="W50">
        <v>0</v>
      </c>
      <c r="X50">
        <v>5974</v>
      </c>
    </row>
    <row r="51" spans="1:24" x14ac:dyDescent="0.25">
      <c r="A51">
        <v>0</v>
      </c>
      <c r="B51">
        <v>27</v>
      </c>
      <c r="C51">
        <v>66098</v>
      </c>
      <c r="D51">
        <v>18460</v>
      </c>
      <c r="F51">
        <v>0</v>
      </c>
      <c r="G51">
        <v>27</v>
      </c>
      <c r="H51">
        <v>66098</v>
      </c>
      <c r="I51">
        <v>18460</v>
      </c>
      <c r="K51">
        <v>151</v>
      </c>
      <c r="L51">
        <v>222</v>
      </c>
      <c r="M51">
        <v>8500082</v>
      </c>
      <c r="N51">
        <v>103371</v>
      </c>
      <c r="U51">
        <v>1</v>
      </c>
      <c r="V51">
        <v>8</v>
      </c>
      <c r="W51">
        <v>12486</v>
      </c>
      <c r="X51">
        <v>9098</v>
      </c>
    </row>
    <row r="52" spans="1:24" x14ac:dyDescent="0.25">
      <c r="A52">
        <v>35</v>
      </c>
      <c r="B52">
        <v>58</v>
      </c>
      <c r="C52">
        <v>1712800</v>
      </c>
      <c r="D52">
        <v>30933</v>
      </c>
      <c r="F52">
        <v>35</v>
      </c>
      <c r="G52">
        <v>58</v>
      </c>
      <c r="H52">
        <v>1712800</v>
      </c>
      <c r="I52">
        <v>30933</v>
      </c>
      <c r="K52">
        <v>0</v>
      </c>
      <c r="L52">
        <v>5</v>
      </c>
      <c r="M52">
        <v>5093</v>
      </c>
      <c r="N52">
        <v>2041</v>
      </c>
      <c r="U52">
        <v>0</v>
      </c>
      <c r="V52">
        <v>2</v>
      </c>
      <c r="W52">
        <v>4309</v>
      </c>
      <c r="X52">
        <v>286</v>
      </c>
    </row>
    <row r="53" spans="1:24" x14ac:dyDescent="0.25">
      <c r="A53">
        <v>1</v>
      </c>
      <c r="B53">
        <v>4</v>
      </c>
      <c r="C53">
        <v>124101</v>
      </c>
      <c r="D53">
        <v>7465</v>
      </c>
      <c r="F53">
        <v>1</v>
      </c>
      <c r="G53">
        <v>4</v>
      </c>
      <c r="H53">
        <v>124101</v>
      </c>
      <c r="I53">
        <v>7465</v>
      </c>
      <c r="K53">
        <v>2</v>
      </c>
      <c r="L53">
        <v>10</v>
      </c>
      <c r="M53">
        <v>20763</v>
      </c>
      <c r="N53">
        <v>25258</v>
      </c>
      <c r="U53">
        <v>0</v>
      </c>
      <c r="V53">
        <v>1</v>
      </c>
      <c r="W53">
        <v>0</v>
      </c>
      <c r="X53">
        <v>272</v>
      </c>
    </row>
    <row r="54" spans="1:24" x14ac:dyDescent="0.25">
      <c r="A54">
        <v>377</v>
      </c>
      <c r="B54">
        <v>440</v>
      </c>
      <c r="C54">
        <v>37662797</v>
      </c>
      <c r="D54">
        <v>5343970</v>
      </c>
      <c r="F54">
        <v>377</v>
      </c>
      <c r="G54">
        <v>440</v>
      </c>
      <c r="H54">
        <v>37662797</v>
      </c>
      <c r="I54">
        <v>5343970</v>
      </c>
      <c r="K54">
        <v>48</v>
      </c>
      <c r="L54">
        <v>62</v>
      </c>
      <c r="M54">
        <v>2497805</v>
      </c>
      <c r="N54">
        <v>587240</v>
      </c>
      <c r="U54">
        <v>312</v>
      </c>
      <c r="V54">
        <v>129</v>
      </c>
      <c r="W54">
        <v>51211785</v>
      </c>
      <c r="X54">
        <v>13572159</v>
      </c>
    </row>
    <row r="55" spans="1:24" x14ac:dyDescent="0.25">
      <c r="A55">
        <v>0</v>
      </c>
      <c r="B55">
        <v>11</v>
      </c>
      <c r="C55">
        <v>7680</v>
      </c>
      <c r="D55">
        <v>1833</v>
      </c>
      <c r="F55">
        <v>0</v>
      </c>
      <c r="G55">
        <v>11</v>
      </c>
      <c r="H55">
        <v>7680</v>
      </c>
      <c r="I55">
        <v>1833</v>
      </c>
      <c r="K55">
        <v>0</v>
      </c>
      <c r="L55">
        <v>9</v>
      </c>
      <c r="M55">
        <v>14955</v>
      </c>
      <c r="N55">
        <v>11506</v>
      </c>
    </row>
    <row r="56" spans="1:24" x14ac:dyDescent="0.25">
      <c r="A56">
        <v>1</v>
      </c>
      <c r="B56">
        <v>1</v>
      </c>
      <c r="C56">
        <v>147874</v>
      </c>
      <c r="D56">
        <v>39972</v>
      </c>
      <c r="F56">
        <v>1</v>
      </c>
      <c r="G56">
        <v>1</v>
      </c>
      <c r="H56">
        <v>147874</v>
      </c>
      <c r="I56">
        <v>39972</v>
      </c>
      <c r="K56">
        <v>4</v>
      </c>
      <c r="L56">
        <v>35</v>
      </c>
      <c r="M56">
        <v>66151</v>
      </c>
      <c r="N56">
        <v>16397</v>
      </c>
    </row>
    <row r="57" spans="1:24" x14ac:dyDescent="0.25">
      <c r="A57">
        <v>1</v>
      </c>
      <c r="B57">
        <v>0</v>
      </c>
      <c r="C57">
        <v>0</v>
      </c>
      <c r="D57">
        <v>14</v>
      </c>
      <c r="F57">
        <v>1</v>
      </c>
      <c r="G57">
        <v>0</v>
      </c>
      <c r="H57">
        <v>0</v>
      </c>
      <c r="I57">
        <v>14</v>
      </c>
      <c r="K57">
        <v>32</v>
      </c>
      <c r="L57">
        <v>62</v>
      </c>
      <c r="M57">
        <v>201731</v>
      </c>
      <c r="N57">
        <v>193132</v>
      </c>
    </row>
    <row r="58" spans="1:24" x14ac:dyDescent="0.25">
      <c r="A58">
        <v>151</v>
      </c>
      <c r="B58">
        <v>222</v>
      </c>
      <c r="C58">
        <v>8500082</v>
      </c>
      <c r="D58">
        <v>103371</v>
      </c>
      <c r="F58">
        <v>151</v>
      </c>
      <c r="G58">
        <v>222</v>
      </c>
      <c r="H58">
        <v>8500082</v>
      </c>
      <c r="I58">
        <v>103371</v>
      </c>
      <c r="K58">
        <v>4</v>
      </c>
      <c r="L58">
        <v>26</v>
      </c>
      <c r="M58">
        <v>247602</v>
      </c>
      <c r="N58">
        <v>56043</v>
      </c>
    </row>
    <row r="59" spans="1:24" x14ac:dyDescent="0.25">
      <c r="A59">
        <v>0</v>
      </c>
      <c r="B59">
        <v>5</v>
      </c>
      <c r="C59">
        <v>297314</v>
      </c>
      <c r="D59">
        <v>2741</v>
      </c>
      <c r="F59">
        <v>0</v>
      </c>
      <c r="G59">
        <v>5</v>
      </c>
      <c r="H59">
        <v>5093</v>
      </c>
      <c r="I59">
        <v>2041</v>
      </c>
      <c r="K59">
        <v>5</v>
      </c>
      <c r="L59">
        <v>0</v>
      </c>
      <c r="M59">
        <v>298574</v>
      </c>
      <c r="N59">
        <v>281064</v>
      </c>
    </row>
    <row r="60" spans="1:24" x14ac:dyDescent="0.25">
      <c r="A60">
        <v>0</v>
      </c>
      <c r="B60">
        <v>5</v>
      </c>
      <c r="C60">
        <v>5093</v>
      </c>
      <c r="D60">
        <v>2041</v>
      </c>
      <c r="F60">
        <v>2</v>
      </c>
      <c r="G60">
        <v>10</v>
      </c>
      <c r="H60">
        <v>20763</v>
      </c>
      <c r="I60">
        <v>25258</v>
      </c>
      <c r="K60">
        <v>31</v>
      </c>
      <c r="L60">
        <v>89</v>
      </c>
      <c r="M60">
        <v>160787</v>
      </c>
      <c r="N60">
        <v>41016</v>
      </c>
    </row>
    <row r="61" spans="1:24" x14ac:dyDescent="0.25">
      <c r="A61">
        <v>2</v>
      </c>
      <c r="B61">
        <v>10</v>
      </c>
      <c r="C61">
        <v>20763</v>
      </c>
      <c r="D61">
        <v>25258</v>
      </c>
      <c r="F61">
        <v>48</v>
      </c>
      <c r="G61">
        <v>62</v>
      </c>
      <c r="H61">
        <v>2497805</v>
      </c>
      <c r="I61">
        <v>587240</v>
      </c>
      <c r="K61">
        <v>0</v>
      </c>
      <c r="L61">
        <v>18</v>
      </c>
      <c r="M61">
        <v>21310</v>
      </c>
      <c r="N61">
        <v>4510</v>
      </c>
    </row>
    <row r="62" spans="1:24" x14ac:dyDescent="0.25">
      <c r="A62">
        <v>48</v>
      </c>
      <c r="B62">
        <v>62</v>
      </c>
      <c r="C62">
        <v>2497805</v>
      </c>
      <c r="D62">
        <v>587240</v>
      </c>
      <c r="F62">
        <v>0</v>
      </c>
      <c r="G62">
        <v>9</v>
      </c>
      <c r="H62">
        <v>14955</v>
      </c>
      <c r="I62">
        <v>11506</v>
      </c>
      <c r="K62">
        <v>2</v>
      </c>
      <c r="L62">
        <v>6</v>
      </c>
      <c r="M62">
        <v>0</v>
      </c>
      <c r="N62">
        <v>14023</v>
      </c>
    </row>
    <row r="63" spans="1:24" x14ac:dyDescent="0.25">
      <c r="A63">
        <v>0</v>
      </c>
      <c r="B63">
        <v>9</v>
      </c>
      <c r="C63">
        <v>14955</v>
      </c>
      <c r="D63">
        <v>11506</v>
      </c>
      <c r="F63">
        <v>2</v>
      </c>
      <c r="G63">
        <v>0</v>
      </c>
      <c r="H63">
        <v>2081</v>
      </c>
      <c r="I63">
        <v>6220</v>
      </c>
      <c r="K63">
        <v>12</v>
      </c>
      <c r="L63">
        <v>61</v>
      </c>
      <c r="M63">
        <v>1170987</v>
      </c>
      <c r="N63">
        <v>11238</v>
      </c>
    </row>
    <row r="64" spans="1:24" x14ac:dyDescent="0.25">
      <c r="A64">
        <v>2</v>
      </c>
      <c r="B64">
        <v>0</v>
      </c>
      <c r="C64">
        <v>2081</v>
      </c>
      <c r="D64">
        <v>6220</v>
      </c>
      <c r="F64">
        <v>4</v>
      </c>
      <c r="G64">
        <v>35</v>
      </c>
      <c r="H64">
        <v>66151</v>
      </c>
      <c r="I64">
        <v>16397</v>
      </c>
      <c r="K64">
        <v>0</v>
      </c>
      <c r="L64">
        <v>1</v>
      </c>
      <c r="M64">
        <v>0</v>
      </c>
      <c r="N64">
        <v>3927</v>
      </c>
    </row>
    <row r="65" spans="1:14" x14ac:dyDescent="0.25">
      <c r="A65">
        <v>4</v>
      </c>
      <c r="B65">
        <v>35</v>
      </c>
      <c r="C65">
        <v>66151</v>
      </c>
      <c r="D65">
        <v>16397</v>
      </c>
      <c r="F65">
        <v>32</v>
      </c>
      <c r="G65">
        <v>62</v>
      </c>
      <c r="H65">
        <v>201731</v>
      </c>
      <c r="I65">
        <v>193132</v>
      </c>
      <c r="K65">
        <v>12</v>
      </c>
      <c r="L65">
        <v>6</v>
      </c>
      <c r="M65">
        <v>705952</v>
      </c>
      <c r="N65">
        <v>145217</v>
      </c>
    </row>
    <row r="66" spans="1:14" x14ac:dyDescent="0.25">
      <c r="A66">
        <v>32</v>
      </c>
      <c r="B66">
        <v>62</v>
      </c>
      <c r="C66">
        <v>201731</v>
      </c>
      <c r="D66">
        <v>193132</v>
      </c>
      <c r="F66">
        <v>4</v>
      </c>
      <c r="G66">
        <v>26</v>
      </c>
      <c r="H66">
        <v>247602</v>
      </c>
      <c r="I66">
        <v>56043</v>
      </c>
      <c r="K66">
        <v>1</v>
      </c>
      <c r="L66">
        <v>31</v>
      </c>
      <c r="M66">
        <v>154438</v>
      </c>
      <c r="N66">
        <v>22766</v>
      </c>
    </row>
    <row r="67" spans="1:14" x14ac:dyDescent="0.25">
      <c r="A67">
        <v>4</v>
      </c>
      <c r="B67">
        <v>26</v>
      </c>
      <c r="C67">
        <v>247602</v>
      </c>
      <c r="D67">
        <v>56043</v>
      </c>
      <c r="F67">
        <v>5</v>
      </c>
      <c r="G67">
        <v>0</v>
      </c>
      <c r="H67">
        <v>298574</v>
      </c>
      <c r="I67">
        <v>281064</v>
      </c>
      <c r="K67">
        <v>0</v>
      </c>
      <c r="L67">
        <v>21</v>
      </c>
      <c r="M67">
        <v>11533</v>
      </c>
      <c r="N67">
        <v>6096</v>
      </c>
    </row>
    <row r="68" spans="1:14" x14ac:dyDescent="0.25">
      <c r="A68">
        <v>5</v>
      </c>
      <c r="B68">
        <v>0</v>
      </c>
      <c r="C68">
        <v>298574</v>
      </c>
      <c r="D68">
        <v>281064</v>
      </c>
      <c r="F68">
        <v>31</v>
      </c>
      <c r="G68">
        <v>89</v>
      </c>
      <c r="H68">
        <v>160787</v>
      </c>
      <c r="I68">
        <v>41016</v>
      </c>
      <c r="K68">
        <v>8</v>
      </c>
      <c r="L68">
        <v>34</v>
      </c>
      <c r="M68">
        <v>148279</v>
      </c>
      <c r="N68">
        <v>47949</v>
      </c>
    </row>
    <row r="69" spans="1:14" x14ac:dyDescent="0.25">
      <c r="A69">
        <v>31</v>
      </c>
      <c r="B69">
        <v>89</v>
      </c>
      <c r="C69">
        <v>160787</v>
      </c>
      <c r="D69">
        <v>41016</v>
      </c>
      <c r="F69">
        <v>0</v>
      </c>
      <c r="G69">
        <v>18</v>
      </c>
      <c r="H69">
        <v>21310</v>
      </c>
      <c r="I69">
        <v>4510</v>
      </c>
      <c r="K69">
        <v>0</v>
      </c>
      <c r="L69">
        <v>1</v>
      </c>
      <c r="M69">
        <v>0</v>
      </c>
      <c r="N69">
        <v>114</v>
      </c>
    </row>
    <row r="70" spans="1:14" x14ac:dyDescent="0.25">
      <c r="A70">
        <v>21</v>
      </c>
      <c r="B70">
        <v>15</v>
      </c>
      <c r="C70">
        <v>45189</v>
      </c>
      <c r="D70">
        <v>8097</v>
      </c>
      <c r="F70">
        <v>2</v>
      </c>
      <c r="G70">
        <v>6</v>
      </c>
      <c r="H70">
        <v>0</v>
      </c>
      <c r="I70">
        <v>14023</v>
      </c>
      <c r="K70">
        <v>3</v>
      </c>
      <c r="L70">
        <v>20</v>
      </c>
      <c r="M70">
        <v>196766</v>
      </c>
      <c r="N70">
        <v>0</v>
      </c>
    </row>
    <row r="71" spans="1:14" x14ac:dyDescent="0.25">
      <c r="A71">
        <v>0</v>
      </c>
      <c r="B71">
        <v>18</v>
      </c>
      <c r="C71">
        <v>21310</v>
      </c>
      <c r="D71">
        <v>4510</v>
      </c>
      <c r="F71">
        <v>12</v>
      </c>
      <c r="G71">
        <v>61</v>
      </c>
      <c r="H71">
        <v>1170987</v>
      </c>
      <c r="I71">
        <v>11238</v>
      </c>
      <c r="K71">
        <v>2</v>
      </c>
      <c r="L71">
        <v>28</v>
      </c>
      <c r="M71">
        <v>126833</v>
      </c>
      <c r="N71">
        <v>8121</v>
      </c>
    </row>
    <row r="72" spans="1:14" x14ac:dyDescent="0.25">
      <c r="A72">
        <v>2</v>
      </c>
      <c r="B72">
        <v>6</v>
      </c>
      <c r="C72">
        <v>0</v>
      </c>
      <c r="D72">
        <v>14023</v>
      </c>
      <c r="F72">
        <v>77</v>
      </c>
      <c r="G72">
        <v>712</v>
      </c>
      <c r="H72">
        <v>8655523</v>
      </c>
      <c r="I72">
        <v>1008312</v>
      </c>
      <c r="K72">
        <v>2</v>
      </c>
      <c r="L72">
        <v>1</v>
      </c>
      <c r="M72">
        <v>0</v>
      </c>
      <c r="N72">
        <v>1552</v>
      </c>
    </row>
    <row r="73" spans="1:14" x14ac:dyDescent="0.25">
      <c r="A73">
        <v>12</v>
      </c>
      <c r="B73">
        <v>61</v>
      </c>
      <c r="C73">
        <v>1170987</v>
      </c>
      <c r="D73">
        <v>11238</v>
      </c>
      <c r="F73">
        <v>0</v>
      </c>
      <c r="G73">
        <v>1</v>
      </c>
      <c r="H73">
        <v>0</v>
      </c>
      <c r="I73">
        <v>3927</v>
      </c>
      <c r="K73">
        <v>0</v>
      </c>
      <c r="L73">
        <v>38</v>
      </c>
      <c r="M73">
        <v>45112</v>
      </c>
      <c r="N73">
        <v>34132</v>
      </c>
    </row>
    <row r="74" spans="1:14" x14ac:dyDescent="0.25">
      <c r="A74">
        <v>77</v>
      </c>
      <c r="B74">
        <v>712</v>
      </c>
      <c r="C74">
        <v>8655523</v>
      </c>
      <c r="D74">
        <v>1008312</v>
      </c>
      <c r="F74">
        <v>12</v>
      </c>
      <c r="G74">
        <v>6</v>
      </c>
      <c r="H74">
        <v>705952</v>
      </c>
      <c r="I74">
        <v>145217</v>
      </c>
      <c r="K74">
        <v>2</v>
      </c>
      <c r="L74">
        <v>6</v>
      </c>
      <c r="M74">
        <v>6425</v>
      </c>
      <c r="N74">
        <v>23332</v>
      </c>
    </row>
    <row r="75" spans="1:14" x14ac:dyDescent="0.25">
      <c r="A75">
        <v>0</v>
      </c>
      <c r="B75">
        <v>1</v>
      </c>
      <c r="C75">
        <v>0</v>
      </c>
      <c r="D75">
        <v>3927</v>
      </c>
      <c r="F75">
        <v>1</v>
      </c>
      <c r="G75">
        <v>31</v>
      </c>
      <c r="H75">
        <v>154438</v>
      </c>
      <c r="I75">
        <v>22766</v>
      </c>
      <c r="K75">
        <v>6</v>
      </c>
      <c r="L75">
        <v>8</v>
      </c>
      <c r="M75">
        <v>555307</v>
      </c>
      <c r="N75">
        <v>0</v>
      </c>
    </row>
    <row r="76" spans="1:14" x14ac:dyDescent="0.25">
      <c r="A76">
        <v>12</v>
      </c>
      <c r="B76">
        <v>6</v>
      </c>
      <c r="C76">
        <v>705952</v>
      </c>
      <c r="D76">
        <v>145217</v>
      </c>
      <c r="F76">
        <v>0</v>
      </c>
      <c r="G76">
        <v>21</v>
      </c>
      <c r="H76">
        <v>11533</v>
      </c>
      <c r="I76">
        <v>6096</v>
      </c>
      <c r="K76">
        <v>2</v>
      </c>
      <c r="L76">
        <v>9</v>
      </c>
      <c r="M76">
        <v>41542</v>
      </c>
      <c r="N76">
        <v>4364</v>
      </c>
    </row>
    <row r="77" spans="1:14" x14ac:dyDescent="0.25">
      <c r="A77">
        <v>1</v>
      </c>
      <c r="B77">
        <v>31</v>
      </c>
      <c r="C77">
        <v>154438</v>
      </c>
      <c r="D77">
        <v>22766</v>
      </c>
      <c r="F77">
        <v>8</v>
      </c>
      <c r="G77">
        <v>34</v>
      </c>
      <c r="H77">
        <v>148279</v>
      </c>
      <c r="I77">
        <v>47949</v>
      </c>
      <c r="K77">
        <v>2</v>
      </c>
      <c r="L77">
        <v>25</v>
      </c>
      <c r="M77">
        <v>68051</v>
      </c>
      <c r="N77">
        <v>10968</v>
      </c>
    </row>
    <row r="78" spans="1:14" x14ac:dyDescent="0.25">
      <c r="A78">
        <v>0</v>
      </c>
      <c r="B78">
        <v>21</v>
      </c>
      <c r="C78">
        <v>11533</v>
      </c>
      <c r="D78">
        <v>6096</v>
      </c>
      <c r="F78">
        <v>0</v>
      </c>
      <c r="G78">
        <v>1</v>
      </c>
      <c r="H78">
        <v>0</v>
      </c>
      <c r="I78">
        <v>114</v>
      </c>
      <c r="K78">
        <v>1</v>
      </c>
      <c r="L78">
        <v>3</v>
      </c>
      <c r="M78">
        <v>45303</v>
      </c>
      <c r="N78">
        <v>386</v>
      </c>
    </row>
    <row r="79" spans="1:14" x14ac:dyDescent="0.25">
      <c r="A79">
        <v>8</v>
      </c>
      <c r="B79">
        <v>34</v>
      </c>
      <c r="C79">
        <v>148279</v>
      </c>
      <c r="D79">
        <v>47949</v>
      </c>
      <c r="F79">
        <v>5725</v>
      </c>
      <c r="G79">
        <v>5641</v>
      </c>
      <c r="H79">
        <v>479519075</v>
      </c>
      <c r="I79">
        <v>1127605</v>
      </c>
      <c r="K79">
        <v>0</v>
      </c>
      <c r="L79">
        <v>3</v>
      </c>
      <c r="M79">
        <v>0</v>
      </c>
      <c r="N79">
        <v>845</v>
      </c>
    </row>
    <row r="80" spans="1:14" x14ac:dyDescent="0.25">
      <c r="A80">
        <v>0</v>
      </c>
      <c r="B80">
        <v>1</v>
      </c>
      <c r="C80">
        <v>0</v>
      </c>
      <c r="D80">
        <v>114</v>
      </c>
      <c r="F80">
        <v>3</v>
      </c>
      <c r="G80">
        <v>20</v>
      </c>
      <c r="H80">
        <v>196766</v>
      </c>
      <c r="I80">
        <v>0</v>
      </c>
      <c r="K80">
        <v>8</v>
      </c>
      <c r="L80">
        <v>22</v>
      </c>
      <c r="M80">
        <v>403282</v>
      </c>
      <c r="N80">
        <v>31009</v>
      </c>
    </row>
    <row r="81" spans="1:14" x14ac:dyDescent="0.25">
      <c r="A81">
        <v>5725</v>
      </c>
      <c r="B81">
        <v>5641</v>
      </c>
      <c r="C81">
        <v>479519075</v>
      </c>
      <c r="D81">
        <v>1127605</v>
      </c>
      <c r="F81">
        <v>2</v>
      </c>
      <c r="G81">
        <v>28</v>
      </c>
      <c r="H81">
        <v>126833</v>
      </c>
      <c r="I81">
        <v>8121</v>
      </c>
      <c r="K81">
        <v>1</v>
      </c>
      <c r="L81">
        <v>12</v>
      </c>
      <c r="M81">
        <v>44115</v>
      </c>
      <c r="N81">
        <v>3874</v>
      </c>
    </row>
    <row r="82" spans="1:14" x14ac:dyDescent="0.25">
      <c r="A82">
        <v>3</v>
      </c>
      <c r="B82">
        <v>20</v>
      </c>
      <c r="C82">
        <v>196766</v>
      </c>
      <c r="D82">
        <v>0</v>
      </c>
      <c r="F82">
        <v>2</v>
      </c>
      <c r="G82">
        <v>1</v>
      </c>
      <c r="H82">
        <v>0</v>
      </c>
      <c r="I82">
        <v>1552</v>
      </c>
      <c r="K82">
        <v>1</v>
      </c>
      <c r="L82">
        <v>4</v>
      </c>
      <c r="M82">
        <v>5423</v>
      </c>
      <c r="N82">
        <v>3444</v>
      </c>
    </row>
    <row r="83" spans="1:14" x14ac:dyDescent="0.25">
      <c r="A83">
        <v>2</v>
      </c>
      <c r="B83">
        <v>28</v>
      </c>
      <c r="C83">
        <v>126833</v>
      </c>
      <c r="D83">
        <v>8121</v>
      </c>
      <c r="F83">
        <v>0</v>
      </c>
      <c r="G83">
        <v>38</v>
      </c>
      <c r="H83">
        <v>45112</v>
      </c>
      <c r="I83">
        <v>34132</v>
      </c>
      <c r="K83">
        <v>2</v>
      </c>
      <c r="L83">
        <v>3</v>
      </c>
      <c r="M83">
        <v>46172</v>
      </c>
      <c r="N83">
        <v>2318</v>
      </c>
    </row>
    <row r="84" spans="1:14" x14ac:dyDescent="0.25">
      <c r="A84">
        <v>2</v>
      </c>
      <c r="B84">
        <v>1</v>
      </c>
      <c r="C84">
        <v>0</v>
      </c>
      <c r="D84">
        <v>1552</v>
      </c>
      <c r="F84">
        <v>2</v>
      </c>
      <c r="G84">
        <v>6</v>
      </c>
      <c r="H84">
        <v>6425</v>
      </c>
      <c r="I84">
        <v>23332</v>
      </c>
      <c r="K84">
        <v>7</v>
      </c>
      <c r="L84">
        <v>7</v>
      </c>
      <c r="M84">
        <v>68173</v>
      </c>
      <c r="N84">
        <v>1993</v>
      </c>
    </row>
    <row r="85" spans="1:14" x14ac:dyDescent="0.25">
      <c r="A85">
        <v>0</v>
      </c>
      <c r="B85">
        <v>38</v>
      </c>
      <c r="C85">
        <v>45112</v>
      </c>
      <c r="D85">
        <v>34132</v>
      </c>
      <c r="F85">
        <v>6</v>
      </c>
      <c r="G85">
        <v>8</v>
      </c>
      <c r="H85">
        <v>555307</v>
      </c>
      <c r="I85">
        <v>0</v>
      </c>
      <c r="K85">
        <v>27</v>
      </c>
      <c r="L85">
        <v>49</v>
      </c>
      <c r="M85">
        <v>25873</v>
      </c>
      <c r="N85">
        <v>37255</v>
      </c>
    </row>
    <row r="86" spans="1:14" x14ac:dyDescent="0.25">
      <c r="A86">
        <v>2</v>
      </c>
      <c r="B86">
        <v>6</v>
      </c>
      <c r="C86">
        <v>6425</v>
      </c>
      <c r="D86">
        <v>23332</v>
      </c>
      <c r="F86">
        <v>2</v>
      </c>
      <c r="G86">
        <v>9</v>
      </c>
      <c r="H86">
        <v>41542</v>
      </c>
      <c r="I86">
        <v>4364</v>
      </c>
      <c r="K86">
        <v>0</v>
      </c>
      <c r="L86">
        <v>13</v>
      </c>
      <c r="M86">
        <v>0</v>
      </c>
      <c r="N86">
        <v>3730</v>
      </c>
    </row>
    <row r="87" spans="1:14" x14ac:dyDescent="0.25">
      <c r="A87">
        <v>6</v>
      </c>
      <c r="B87">
        <v>8</v>
      </c>
      <c r="C87">
        <v>555307</v>
      </c>
      <c r="D87">
        <v>0</v>
      </c>
      <c r="F87">
        <v>2</v>
      </c>
      <c r="G87">
        <v>25</v>
      </c>
      <c r="H87">
        <v>68051</v>
      </c>
      <c r="I87">
        <v>10968</v>
      </c>
      <c r="K87">
        <v>0</v>
      </c>
      <c r="L87">
        <v>13</v>
      </c>
      <c r="M87">
        <v>22361</v>
      </c>
      <c r="N87">
        <v>6950</v>
      </c>
    </row>
    <row r="88" spans="1:14" x14ac:dyDescent="0.25">
      <c r="A88">
        <v>2</v>
      </c>
      <c r="B88">
        <v>9</v>
      </c>
      <c r="C88">
        <v>41542</v>
      </c>
      <c r="D88">
        <v>4364</v>
      </c>
      <c r="F88">
        <v>1</v>
      </c>
      <c r="G88">
        <v>3</v>
      </c>
      <c r="H88">
        <v>45303</v>
      </c>
      <c r="I88">
        <v>386</v>
      </c>
      <c r="K88">
        <v>3</v>
      </c>
      <c r="L88">
        <v>2</v>
      </c>
      <c r="M88">
        <v>22250</v>
      </c>
      <c r="N88">
        <v>1992</v>
      </c>
    </row>
    <row r="89" spans="1:14" x14ac:dyDescent="0.25">
      <c r="A89">
        <v>2</v>
      </c>
      <c r="B89">
        <v>25</v>
      </c>
      <c r="C89">
        <v>68051</v>
      </c>
      <c r="D89">
        <v>10968</v>
      </c>
      <c r="F89">
        <v>0</v>
      </c>
      <c r="G89">
        <v>3</v>
      </c>
      <c r="H89">
        <v>0</v>
      </c>
      <c r="I89">
        <v>845</v>
      </c>
      <c r="K89">
        <v>138</v>
      </c>
      <c r="L89">
        <v>639</v>
      </c>
      <c r="M89">
        <v>13445416</v>
      </c>
      <c r="N89">
        <v>4143249</v>
      </c>
    </row>
    <row r="90" spans="1:14" x14ac:dyDescent="0.25">
      <c r="A90">
        <v>1</v>
      </c>
      <c r="B90">
        <v>3</v>
      </c>
      <c r="C90">
        <v>45303</v>
      </c>
      <c r="D90">
        <v>386</v>
      </c>
      <c r="F90">
        <v>8</v>
      </c>
      <c r="G90">
        <v>22</v>
      </c>
      <c r="H90">
        <v>403282</v>
      </c>
      <c r="I90">
        <v>31009</v>
      </c>
      <c r="K90">
        <v>20</v>
      </c>
      <c r="L90">
        <v>277</v>
      </c>
      <c r="M90">
        <v>137839</v>
      </c>
      <c r="N90">
        <v>249639</v>
      </c>
    </row>
    <row r="91" spans="1:14" x14ac:dyDescent="0.25">
      <c r="A91">
        <v>0</v>
      </c>
      <c r="B91">
        <v>3</v>
      </c>
      <c r="C91">
        <v>0</v>
      </c>
      <c r="D91">
        <v>845</v>
      </c>
      <c r="F91">
        <v>1</v>
      </c>
      <c r="G91">
        <v>12</v>
      </c>
      <c r="H91">
        <v>44115</v>
      </c>
      <c r="I91">
        <v>3874</v>
      </c>
      <c r="K91">
        <v>110</v>
      </c>
      <c r="L91">
        <v>325</v>
      </c>
      <c r="M91">
        <v>6157659</v>
      </c>
      <c r="N91">
        <v>1294926</v>
      </c>
    </row>
    <row r="92" spans="1:14" x14ac:dyDescent="0.25">
      <c r="A92">
        <v>8</v>
      </c>
      <c r="B92">
        <v>22</v>
      </c>
      <c r="C92">
        <v>403282</v>
      </c>
      <c r="D92">
        <v>31009</v>
      </c>
      <c r="F92">
        <v>1</v>
      </c>
      <c r="G92">
        <v>4</v>
      </c>
      <c r="H92">
        <v>5423</v>
      </c>
      <c r="I92">
        <v>3444</v>
      </c>
      <c r="K92">
        <v>1</v>
      </c>
      <c r="L92">
        <v>21</v>
      </c>
      <c r="M92">
        <v>284677</v>
      </c>
      <c r="N92">
        <v>251</v>
      </c>
    </row>
    <row r="93" spans="1:14" x14ac:dyDescent="0.25">
      <c r="A93">
        <v>1</v>
      </c>
      <c r="B93">
        <v>12</v>
      </c>
      <c r="C93">
        <v>44115</v>
      </c>
      <c r="D93">
        <v>3874</v>
      </c>
      <c r="F93">
        <v>2</v>
      </c>
      <c r="G93">
        <v>3</v>
      </c>
      <c r="H93">
        <v>46172</v>
      </c>
      <c r="I93">
        <v>2318</v>
      </c>
      <c r="K93">
        <v>3</v>
      </c>
      <c r="L93">
        <v>3</v>
      </c>
      <c r="M93">
        <v>20934</v>
      </c>
      <c r="N93">
        <v>39843</v>
      </c>
    </row>
    <row r="94" spans="1:14" x14ac:dyDescent="0.25">
      <c r="A94">
        <v>1</v>
      </c>
      <c r="B94">
        <v>4</v>
      </c>
      <c r="C94">
        <v>5423</v>
      </c>
      <c r="D94">
        <v>3444</v>
      </c>
      <c r="F94">
        <v>7</v>
      </c>
      <c r="G94">
        <v>7</v>
      </c>
      <c r="H94">
        <v>68173</v>
      </c>
      <c r="I94">
        <v>1993</v>
      </c>
      <c r="K94">
        <v>0</v>
      </c>
      <c r="L94">
        <v>1</v>
      </c>
      <c r="M94">
        <v>0</v>
      </c>
      <c r="N94">
        <v>1131</v>
      </c>
    </row>
    <row r="95" spans="1:14" x14ac:dyDescent="0.25">
      <c r="A95">
        <v>2</v>
      </c>
      <c r="B95">
        <v>3</v>
      </c>
      <c r="C95">
        <v>46172</v>
      </c>
      <c r="D95">
        <v>2318</v>
      </c>
      <c r="F95">
        <v>27</v>
      </c>
      <c r="G95">
        <v>49</v>
      </c>
      <c r="H95">
        <v>25873</v>
      </c>
      <c r="I95">
        <v>37255</v>
      </c>
      <c r="K95">
        <v>16</v>
      </c>
      <c r="L95">
        <v>59</v>
      </c>
      <c r="M95">
        <v>1419603</v>
      </c>
      <c r="N95">
        <v>1374</v>
      </c>
    </row>
    <row r="96" spans="1:14" x14ac:dyDescent="0.25">
      <c r="A96">
        <v>1</v>
      </c>
      <c r="B96">
        <v>26</v>
      </c>
      <c r="C96">
        <v>12171</v>
      </c>
      <c r="D96">
        <v>13309</v>
      </c>
      <c r="F96">
        <v>25</v>
      </c>
      <c r="G96">
        <v>27</v>
      </c>
      <c r="H96">
        <v>9327277</v>
      </c>
      <c r="I96">
        <v>3812204</v>
      </c>
      <c r="K96">
        <v>3</v>
      </c>
      <c r="L96">
        <v>34</v>
      </c>
      <c r="M96">
        <v>43646</v>
      </c>
      <c r="N96">
        <v>0</v>
      </c>
    </row>
    <row r="97" spans="1:14" x14ac:dyDescent="0.25">
      <c r="A97">
        <v>7</v>
      </c>
      <c r="B97">
        <v>7</v>
      </c>
      <c r="C97">
        <v>68173</v>
      </c>
      <c r="D97">
        <v>1993</v>
      </c>
      <c r="F97">
        <v>0</v>
      </c>
      <c r="G97">
        <v>13</v>
      </c>
      <c r="H97">
        <v>0</v>
      </c>
      <c r="I97">
        <v>3730</v>
      </c>
      <c r="K97">
        <v>62</v>
      </c>
      <c r="L97">
        <v>197</v>
      </c>
      <c r="M97">
        <v>4199159</v>
      </c>
      <c r="N97">
        <v>2086579</v>
      </c>
    </row>
    <row r="98" spans="1:14" x14ac:dyDescent="0.25">
      <c r="A98">
        <v>27</v>
      </c>
      <c r="B98">
        <v>49</v>
      </c>
      <c r="C98">
        <v>25873</v>
      </c>
      <c r="D98">
        <v>37255</v>
      </c>
      <c r="F98">
        <v>0</v>
      </c>
      <c r="G98">
        <v>13</v>
      </c>
      <c r="H98">
        <v>22361</v>
      </c>
      <c r="I98">
        <v>6950</v>
      </c>
      <c r="K98">
        <v>10</v>
      </c>
      <c r="L98">
        <v>19</v>
      </c>
      <c r="M98">
        <v>572110</v>
      </c>
      <c r="N98">
        <v>701</v>
      </c>
    </row>
    <row r="99" spans="1:14" x14ac:dyDescent="0.25">
      <c r="A99">
        <v>25</v>
      </c>
      <c r="B99">
        <v>27</v>
      </c>
      <c r="C99">
        <v>9327277</v>
      </c>
      <c r="D99">
        <v>3812204</v>
      </c>
      <c r="F99">
        <v>3</v>
      </c>
      <c r="G99">
        <v>2</v>
      </c>
      <c r="H99">
        <v>22250</v>
      </c>
      <c r="I99">
        <v>1992</v>
      </c>
      <c r="K99">
        <v>1</v>
      </c>
      <c r="L99">
        <v>20</v>
      </c>
      <c r="M99">
        <v>3218</v>
      </c>
      <c r="N99">
        <v>1825</v>
      </c>
    </row>
    <row r="100" spans="1:14" x14ac:dyDescent="0.25">
      <c r="A100">
        <v>0</v>
      </c>
      <c r="B100">
        <v>13</v>
      </c>
      <c r="C100">
        <v>0</v>
      </c>
      <c r="D100">
        <v>3730</v>
      </c>
      <c r="F100">
        <v>138</v>
      </c>
      <c r="G100">
        <v>639</v>
      </c>
      <c r="H100">
        <v>13445416</v>
      </c>
      <c r="I100">
        <v>4143249</v>
      </c>
      <c r="K100">
        <v>5</v>
      </c>
      <c r="L100">
        <v>11</v>
      </c>
      <c r="M100">
        <v>229859</v>
      </c>
      <c r="N100">
        <v>1742</v>
      </c>
    </row>
    <row r="101" spans="1:14" x14ac:dyDescent="0.25">
      <c r="A101">
        <v>0</v>
      </c>
      <c r="B101">
        <v>13</v>
      </c>
      <c r="C101">
        <v>22361</v>
      </c>
      <c r="D101">
        <v>6950</v>
      </c>
      <c r="F101">
        <v>20</v>
      </c>
      <c r="G101">
        <v>277</v>
      </c>
      <c r="H101">
        <v>137839</v>
      </c>
      <c r="I101">
        <v>249639</v>
      </c>
      <c r="K101">
        <v>0</v>
      </c>
      <c r="L101">
        <v>8</v>
      </c>
      <c r="M101">
        <v>21809</v>
      </c>
      <c r="N101">
        <v>3916</v>
      </c>
    </row>
    <row r="102" spans="1:14" x14ac:dyDescent="0.25">
      <c r="A102">
        <v>3</v>
      </c>
      <c r="B102">
        <v>2</v>
      </c>
      <c r="C102">
        <v>22250</v>
      </c>
      <c r="D102">
        <v>1992</v>
      </c>
      <c r="F102">
        <v>110</v>
      </c>
      <c r="G102">
        <v>325</v>
      </c>
      <c r="H102">
        <v>6157659</v>
      </c>
      <c r="I102">
        <v>1294926</v>
      </c>
      <c r="K102">
        <v>10</v>
      </c>
      <c r="L102">
        <v>9</v>
      </c>
      <c r="M102">
        <v>869971</v>
      </c>
      <c r="N102">
        <v>268481</v>
      </c>
    </row>
    <row r="103" spans="1:14" x14ac:dyDescent="0.25">
      <c r="A103">
        <v>138</v>
      </c>
      <c r="B103">
        <v>639</v>
      </c>
      <c r="C103">
        <v>13445416</v>
      </c>
      <c r="D103">
        <v>4143249</v>
      </c>
      <c r="F103">
        <v>1</v>
      </c>
      <c r="G103">
        <v>21</v>
      </c>
      <c r="H103">
        <v>284677</v>
      </c>
      <c r="I103">
        <v>251</v>
      </c>
      <c r="K103">
        <v>0</v>
      </c>
      <c r="L103">
        <v>5</v>
      </c>
      <c r="M103">
        <v>0</v>
      </c>
      <c r="N103">
        <v>754</v>
      </c>
    </row>
    <row r="104" spans="1:14" x14ac:dyDescent="0.25">
      <c r="A104">
        <v>20</v>
      </c>
      <c r="B104">
        <v>277</v>
      </c>
      <c r="C104">
        <v>137839</v>
      </c>
      <c r="D104">
        <v>249639</v>
      </c>
      <c r="F104">
        <v>3</v>
      </c>
      <c r="G104">
        <v>3</v>
      </c>
      <c r="H104">
        <v>20934</v>
      </c>
      <c r="I104">
        <v>39843</v>
      </c>
      <c r="K104">
        <v>0</v>
      </c>
      <c r="L104">
        <v>14</v>
      </c>
      <c r="M104">
        <v>1569</v>
      </c>
      <c r="N104">
        <v>15508</v>
      </c>
    </row>
    <row r="105" spans="1:14" x14ac:dyDescent="0.25">
      <c r="A105">
        <v>110</v>
      </c>
      <c r="B105">
        <v>325</v>
      </c>
      <c r="C105">
        <v>6157659</v>
      </c>
      <c r="D105">
        <v>1294926</v>
      </c>
      <c r="F105">
        <v>0</v>
      </c>
      <c r="G105">
        <v>1</v>
      </c>
      <c r="H105">
        <v>0</v>
      </c>
      <c r="I105">
        <v>1131</v>
      </c>
      <c r="K105">
        <v>0</v>
      </c>
      <c r="L105">
        <v>16</v>
      </c>
      <c r="M105">
        <v>4434</v>
      </c>
      <c r="N105">
        <v>67</v>
      </c>
    </row>
    <row r="106" spans="1:14" x14ac:dyDescent="0.25">
      <c r="A106">
        <v>1</v>
      </c>
      <c r="B106">
        <v>21</v>
      </c>
      <c r="C106">
        <v>284677</v>
      </c>
      <c r="D106">
        <v>251</v>
      </c>
      <c r="F106">
        <v>16</v>
      </c>
      <c r="G106">
        <v>59</v>
      </c>
      <c r="H106">
        <v>1419603</v>
      </c>
      <c r="I106">
        <v>1374</v>
      </c>
      <c r="K106">
        <v>6</v>
      </c>
      <c r="L106">
        <v>14</v>
      </c>
      <c r="M106">
        <v>19309</v>
      </c>
      <c r="N106">
        <v>81203</v>
      </c>
    </row>
    <row r="107" spans="1:14" x14ac:dyDescent="0.25">
      <c r="A107">
        <v>3</v>
      </c>
      <c r="B107">
        <v>3</v>
      </c>
      <c r="C107">
        <v>20934</v>
      </c>
      <c r="D107">
        <v>39843</v>
      </c>
      <c r="F107">
        <v>3</v>
      </c>
      <c r="G107">
        <v>34</v>
      </c>
      <c r="H107">
        <v>43646</v>
      </c>
      <c r="I107">
        <v>0</v>
      </c>
      <c r="K107">
        <v>0</v>
      </c>
      <c r="L107">
        <v>3</v>
      </c>
      <c r="M107">
        <v>0</v>
      </c>
      <c r="N107">
        <v>260</v>
      </c>
    </row>
    <row r="108" spans="1:14" x14ac:dyDescent="0.25">
      <c r="A108">
        <v>0</v>
      </c>
      <c r="B108">
        <v>1</v>
      </c>
      <c r="C108">
        <v>0</v>
      </c>
      <c r="D108">
        <v>1131</v>
      </c>
      <c r="F108">
        <v>62</v>
      </c>
      <c r="G108">
        <v>197</v>
      </c>
      <c r="H108">
        <v>4199159</v>
      </c>
      <c r="I108">
        <v>2086579</v>
      </c>
      <c r="K108">
        <v>27</v>
      </c>
      <c r="L108">
        <v>39</v>
      </c>
      <c r="M108">
        <v>2201619</v>
      </c>
      <c r="N108">
        <v>21207</v>
      </c>
    </row>
    <row r="109" spans="1:14" x14ac:dyDescent="0.25">
      <c r="A109">
        <v>16</v>
      </c>
      <c r="B109">
        <v>59</v>
      </c>
      <c r="C109">
        <v>1419603</v>
      </c>
      <c r="D109">
        <v>1374</v>
      </c>
      <c r="F109">
        <v>10</v>
      </c>
      <c r="G109">
        <v>19</v>
      </c>
      <c r="H109">
        <v>572110</v>
      </c>
      <c r="I109">
        <v>701</v>
      </c>
      <c r="K109">
        <v>3</v>
      </c>
      <c r="L109">
        <v>27</v>
      </c>
      <c r="M109">
        <v>466764</v>
      </c>
      <c r="N109">
        <v>59721</v>
      </c>
    </row>
    <row r="110" spans="1:14" x14ac:dyDescent="0.25">
      <c r="A110">
        <v>3</v>
      </c>
      <c r="B110">
        <v>34</v>
      </c>
      <c r="C110">
        <v>43646</v>
      </c>
      <c r="D110">
        <v>0</v>
      </c>
      <c r="F110">
        <v>1</v>
      </c>
      <c r="G110">
        <v>20</v>
      </c>
      <c r="H110">
        <v>3218</v>
      </c>
      <c r="I110">
        <v>1825</v>
      </c>
      <c r="K110">
        <v>581</v>
      </c>
      <c r="L110">
        <v>418</v>
      </c>
      <c r="M110">
        <v>123793892</v>
      </c>
      <c r="N110">
        <v>33277069</v>
      </c>
    </row>
    <row r="111" spans="1:14" x14ac:dyDescent="0.25">
      <c r="A111">
        <v>62</v>
      </c>
      <c r="B111">
        <v>197</v>
      </c>
      <c r="C111">
        <v>4199159</v>
      </c>
      <c r="D111">
        <v>2086579</v>
      </c>
      <c r="F111">
        <v>5</v>
      </c>
      <c r="G111">
        <v>11</v>
      </c>
      <c r="H111">
        <v>229859</v>
      </c>
      <c r="I111">
        <v>1742</v>
      </c>
      <c r="K111">
        <v>0</v>
      </c>
      <c r="L111">
        <v>10</v>
      </c>
      <c r="M111">
        <v>87146</v>
      </c>
      <c r="N111">
        <v>1383</v>
      </c>
    </row>
    <row r="112" spans="1:14" x14ac:dyDescent="0.25">
      <c r="A112">
        <v>10</v>
      </c>
      <c r="B112">
        <v>19</v>
      </c>
      <c r="C112">
        <v>572110</v>
      </c>
      <c r="D112">
        <v>701</v>
      </c>
      <c r="F112">
        <v>183</v>
      </c>
      <c r="G112">
        <v>96</v>
      </c>
      <c r="H112">
        <v>39774691</v>
      </c>
      <c r="I112">
        <v>9793899</v>
      </c>
      <c r="K112">
        <v>0</v>
      </c>
      <c r="L112">
        <v>12</v>
      </c>
      <c r="M112">
        <v>0</v>
      </c>
      <c r="N112">
        <v>3255</v>
      </c>
    </row>
    <row r="113" spans="1:14" x14ac:dyDescent="0.25">
      <c r="A113">
        <v>1</v>
      </c>
      <c r="B113">
        <v>20</v>
      </c>
      <c r="C113">
        <v>3218</v>
      </c>
      <c r="D113">
        <v>1825</v>
      </c>
      <c r="F113">
        <v>0</v>
      </c>
      <c r="G113">
        <v>8</v>
      </c>
      <c r="H113">
        <v>21809</v>
      </c>
      <c r="I113">
        <v>3916</v>
      </c>
      <c r="K113">
        <v>2</v>
      </c>
      <c r="L113">
        <v>22</v>
      </c>
      <c r="M113">
        <v>208451</v>
      </c>
      <c r="N113">
        <v>12873</v>
      </c>
    </row>
    <row r="114" spans="1:14" x14ac:dyDescent="0.25">
      <c r="A114">
        <v>5</v>
      </c>
      <c r="B114">
        <v>11</v>
      </c>
      <c r="C114">
        <v>229859</v>
      </c>
      <c r="D114">
        <v>1742</v>
      </c>
      <c r="F114">
        <v>10</v>
      </c>
      <c r="G114">
        <v>9</v>
      </c>
      <c r="H114">
        <v>869971</v>
      </c>
      <c r="I114">
        <v>268481</v>
      </c>
      <c r="K114">
        <v>421</v>
      </c>
      <c r="L114">
        <v>481</v>
      </c>
      <c r="M114">
        <v>40807827</v>
      </c>
      <c r="N114">
        <v>7153</v>
      </c>
    </row>
    <row r="115" spans="1:14" x14ac:dyDescent="0.25">
      <c r="A115">
        <v>183</v>
      </c>
      <c r="B115">
        <v>96</v>
      </c>
      <c r="C115">
        <v>39774691</v>
      </c>
      <c r="D115">
        <v>9793899</v>
      </c>
      <c r="F115">
        <v>0</v>
      </c>
      <c r="G115">
        <v>5</v>
      </c>
      <c r="H115">
        <v>0</v>
      </c>
      <c r="I115">
        <v>754</v>
      </c>
      <c r="K115">
        <v>36</v>
      </c>
      <c r="L115">
        <v>46</v>
      </c>
      <c r="M115">
        <v>4254526</v>
      </c>
      <c r="N115">
        <v>939010</v>
      </c>
    </row>
    <row r="116" spans="1:14" x14ac:dyDescent="0.25">
      <c r="A116">
        <v>0</v>
      </c>
      <c r="B116">
        <v>8</v>
      </c>
      <c r="C116">
        <v>21809</v>
      </c>
      <c r="D116">
        <v>3916</v>
      </c>
      <c r="F116">
        <v>0</v>
      </c>
      <c r="G116">
        <v>14</v>
      </c>
      <c r="H116">
        <v>1569</v>
      </c>
      <c r="I116">
        <v>15508</v>
      </c>
      <c r="K116">
        <v>33</v>
      </c>
      <c r="L116">
        <v>51</v>
      </c>
      <c r="M116">
        <v>2027331</v>
      </c>
      <c r="N116">
        <v>7761</v>
      </c>
    </row>
    <row r="117" spans="1:14" x14ac:dyDescent="0.25">
      <c r="A117">
        <v>10</v>
      </c>
      <c r="B117">
        <v>9</v>
      </c>
      <c r="C117">
        <v>869971</v>
      </c>
      <c r="D117">
        <v>268481</v>
      </c>
      <c r="F117">
        <v>0</v>
      </c>
      <c r="G117">
        <v>16</v>
      </c>
      <c r="H117">
        <v>4434</v>
      </c>
      <c r="I117">
        <v>67</v>
      </c>
      <c r="K117">
        <v>0</v>
      </c>
      <c r="L117">
        <v>1</v>
      </c>
      <c r="M117">
        <v>18248</v>
      </c>
      <c r="N117">
        <v>0</v>
      </c>
    </row>
    <row r="118" spans="1:14" x14ac:dyDescent="0.25">
      <c r="A118">
        <v>0</v>
      </c>
      <c r="B118">
        <v>5</v>
      </c>
      <c r="C118">
        <v>0</v>
      </c>
      <c r="D118">
        <v>754</v>
      </c>
      <c r="F118">
        <v>6</v>
      </c>
      <c r="G118">
        <v>14</v>
      </c>
      <c r="H118">
        <v>19309</v>
      </c>
      <c r="I118">
        <v>81203</v>
      </c>
      <c r="K118">
        <v>8</v>
      </c>
      <c r="L118">
        <v>30</v>
      </c>
      <c r="M118">
        <v>127838</v>
      </c>
      <c r="N118">
        <v>8862</v>
      </c>
    </row>
    <row r="119" spans="1:14" x14ac:dyDescent="0.25">
      <c r="A119">
        <v>0</v>
      </c>
      <c r="B119">
        <v>14</v>
      </c>
      <c r="C119">
        <v>1569</v>
      </c>
      <c r="D119">
        <v>15508</v>
      </c>
      <c r="F119">
        <v>0</v>
      </c>
      <c r="G119">
        <v>3</v>
      </c>
      <c r="H119">
        <v>0</v>
      </c>
      <c r="I119">
        <v>260</v>
      </c>
      <c r="K119">
        <v>0</v>
      </c>
      <c r="L119">
        <v>1</v>
      </c>
      <c r="M119">
        <v>22403</v>
      </c>
      <c r="N119">
        <v>2856</v>
      </c>
    </row>
    <row r="120" spans="1:14" x14ac:dyDescent="0.25">
      <c r="A120">
        <v>0</v>
      </c>
      <c r="B120">
        <v>16</v>
      </c>
      <c r="C120">
        <v>4434</v>
      </c>
      <c r="D120">
        <v>67</v>
      </c>
      <c r="F120">
        <v>27</v>
      </c>
      <c r="G120">
        <v>39</v>
      </c>
      <c r="H120">
        <v>2201619</v>
      </c>
      <c r="I120">
        <v>21207</v>
      </c>
      <c r="K120">
        <v>1</v>
      </c>
      <c r="L120">
        <v>0</v>
      </c>
      <c r="M120">
        <v>0</v>
      </c>
      <c r="N120">
        <v>7127</v>
      </c>
    </row>
    <row r="121" spans="1:14" x14ac:dyDescent="0.25">
      <c r="A121">
        <v>6</v>
      </c>
      <c r="B121">
        <v>14</v>
      </c>
      <c r="C121">
        <v>19309</v>
      </c>
      <c r="D121">
        <v>81203</v>
      </c>
      <c r="F121">
        <v>3</v>
      </c>
      <c r="G121">
        <v>27</v>
      </c>
      <c r="H121">
        <v>466764</v>
      </c>
      <c r="I121">
        <v>59721</v>
      </c>
      <c r="K121">
        <v>21</v>
      </c>
      <c r="L121">
        <v>37</v>
      </c>
      <c r="M121">
        <v>1312649</v>
      </c>
      <c r="N121">
        <v>0</v>
      </c>
    </row>
    <row r="122" spans="1:14" x14ac:dyDescent="0.25">
      <c r="A122">
        <v>0</v>
      </c>
      <c r="B122">
        <v>3</v>
      </c>
      <c r="C122">
        <v>0</v>
      </c>
      <c r="D122">
        <v>260</v>
      </c>
      <c r="F122">
        <v>581</v>
      </c>
      <c r="G122">
        <v>418</v>
      </c>
      <c r="H122">
        <v>123793892</v>
      </c>
      <c r="I122">
        <v>33277069</v>
      </c>
      <c r="K122">
        <v>40</v>
      </c>
      <c r="L122">
        <v>228</v>
      </c>
      <c r="M122">
        <v>2964554</v>
      </c>
      <c r="N122">
        <v>267965</v>
      </c>
    </row>
    <row r="123" spans="1:14" x14ac:dyDescent="0.25">
      <c r="A123">
        <v>27</v>
      </c>
      <c r="B123">
        <v>39</v>
      </c>
      <c r="C123">
        <v>2201619</v>
      </c>
      <c r="D123">
        <v>21207</v>
      </c>
      <c r="F123">
        <v>0</v>
      </c>
      <c r="G123">
        <v>10</v>
      </c>
      <c r="H123">
        <v>87146</v>
      </c>
      <c r="I123">
        <v>1383</v>
      </c>
      <c r="K123">
        <v>0</v>
      </c>
      <c r="L123">
        <v>14</v>
      </c>
      <c r="M123">
        <v>0</v>
      </c>
      <c r="N123">
        <v>114</v>
      </c>
    </row>
    <row r="124" spans="1:14" x14ac:dyDescent="0.25">
      <c r="A124">
        <v>3</v>
      </c>
      <c r="B124">
        <v>27</v>
      </c>
      <c r="C124">
        <v>466764</v>
      </c>
      <c r="D124">
        <v>59721</v>
      </c>
      <c r="F124">
        <v>0</v>
      </c>
      <c r="G124">
        <v>12</v>
      </c>
      <c r="H124">
        <v>0</v>
      </c>
      <c r="I124">
        <v>3255</v>
      </c>
      <c r="K124">
        <v>2</v>
      </c>
      <c r="L124">
        <v>49</v>
      </c>
      <c r="M124">
        <v>28408</v>
      </c>
      <c r="N124">
        <v>10547</v>
      </c>
    </row>
    <row r="125" spans="1:14" x14ac:dyDescent="0.25">
      <c r="A125">
        <v>581</v>
      </c>
      <c r="B125">
        <v>418</v>
      </c>
      <c r="C125">
        <v>123793892</v>
      </c>
      <c r="D125">
        <v>33277069</v>
      </c>
      <c r="F125">
        <v>2</v>
      </c>
      <c r="G125">
        <v>22</v>
      </c>
      <c r="H125">
        <v>208451</v>
      </c>
      <c r="I125">
        <v>12873</v>
      </c>
      <c r="K125">
        <v>5</v>
      </c>
      <c r="L125">
        <v>102</v>
      </c>
      <c r="M125">
        <v>1192534</v>
      </c>
      <c r="N125">
        <v>156558</v>
      </c>
    </row>
    <row r="126" spans="1:14" x14ac:dyDescent="0.25">
      <c r="A126">
        <v>0</v>
      </c>
      <c r="B126">
        <v>10</v>
      </c>
      <c r="C126">
        <v>87146</v>
      </c>
      <c r="D126">
        <v>1383</v>
      </c>
      <c r="F126">
        <v>421</v>
      </c>
      <c r="G126">
        <v>481</v>
      </c>
      <c r="H126">
        <v>40807827</v>
      </c>
      <c r="I126">
        <v>7153</v>
      </c>
      <c r="K126">
        <v>5</v>
      </c>
      <c r="L126">
        <v>27</v>
      </c>
      <c r="M126">
        <v>74837</v>
      </c>
      <c r="N126">
        <v>20171</v>
      </c>
    </row>
    <row r="127" spans="1:14" x14ac:dyDescent="0.25">
      <c r="A127">
        <v>0</v>
      </c>
      <c r="B127">
        <v>12</v>
      </c>
      <c r="C127">
        <v>0</v>
      </c>
      <c r="D127">
        <v>3255</v>
      </c>
      <c r="F127">
        <v>36</v>
      </c>
      <c r="G127">
        <v>46</v>
      </c>
      <c r="H127">
        <v>4254526</v>
      </c>
      <c r="I127">
        <v>939010</v>
      </c>
      <c r="K127">
        <v>13</v>
      </c>
      <c r="L127">
        <v>7</v>
      </c>
      <c r="M127">
        <v>497813</v>
      </c>
      <c r="N127">
        <v>313416</v>
      </c>
    </row>
    <row r="128" spans="1:14" x14ac:dyDescent="0.25">
      <c r="A128">
        <v>2</v>
      </c>
      <c r="B128">
        <v>22</v>
      </c>
      <c r="C128">
        <v>208451</v>
      </c>
      <c r="D128">
        <v>12873</v>
      </c>
      <c r="F128">
        <v>33</v>
      </c>
      <c r="G128">
        <v>51</v>
      </c>
      <c r="H128">
        <v>2027331</v>
      </c>
      <c r="I128">
        <v>7761</v>
      </c>
      <c r="K128">
        <v>3</v>
      </c>
      <c r="L128">
        <v>2</v>
      </c>
      <c r="M128">
        <v>61161</v>
      </c>
      <c r="N128">
        <v>1788</v>
      </c>
    </row>
    <row r="129" spans="1:14" x14ac:dyDescent="0.25">
      <c r="A129">
        <v>421</v>
      </c>
      <c r="B129">
        <v>481</v>
      </c>
      <c r="C129">
        <v>40807827</v>
      </c>
      <c r="D129">
        <v>7153</v>
      </c>
      <c r="F129">
        <v>0</v>
      </c>
      <c r="G129">
        <v>1</v>
      </c>
      <c r="H129">
        <v>18248</v>
      </c>
      <c r="I129">
        <v>0</v>
      </c>
      <c r="K129">
        <v>0</v>
      </c>
      <c r="L129">
        <v>16</v>
      </c>
      <c r="M129">
        <v>98619</v>
      </c>
      <c r="N129">
        <v>21048</v>
      </c>
    </row>
    <row r="130" spans="1:14" x14ac:dyDescent="0.25">
      <c r="A130">
        <v>36</v>
      </c>
      <c r="B130">
        <v>46</v>
      </c>
      <c r="C130">
        <v>4254526</v>
      </c>
      <c r="D130">
        <v>939010</v>
      </c>
      <c r="F130">
        <v>8</v>
      </c>
      <c r="G130">
        <v>30</v>
      </c>
      <c r="H130">
        <v>127838</v>
      </c>
      <c r="I130">
        <v>8862</v>
      </c>
      <c r="K130">
        <v>1</v>
      </c>
      <c r="L130">
        <v>2</v>
      </c>
      <c r="M130">
        <v>58071</v>
      </c>
      <c r="N130">
        <v>127</v>
      </c>
    </row>
    <row r="131" spans="1:14" x14ac:dyDescent="0.25">
      <c r="A131">
        <v>33</v>
      </c>
      <c r="B131">
        <v>51</v>
      </c>
      <c r="C131">
        <v>2027331</v>
      </c>
      <c r="D131">
        <v>7761</v>
      </c>
      <c r="F131">
        <v>0</v>
      </c>
      <c r="G131">
        <v>1</v>
      </c>
      <c r="H131">
        <v>22403</v>
      </c>
      <c r="I131">
        <v>2856</v>
      </c>
      <c r="K131">
        <v>2</v>
      </c>
      <c r="L131">
        <v>1</v>
      </c>
      <c r="M131">
        <v>30466</v>
      </c>
      <c r="N131">
        <v>8853</v>
      </c>
    </row>
    <row r="132" spans="1:14" x14ac:dyDescent="0.25">
      <c r="A132">
        <v>0</v>
      </c>
      <c r="B132">
        <v>1</v>
      </c>
      <c r="C132">
        <v>18248</v>
      </c>
      <c r="D132">
        <v>0</v>
      </c>
      <c r="F132">
        <v>244</v>
      </c>
      <c r="G132">
        <v>83</v>
      </c>
      <c r="H132">
        <v>75407065</v>
      </c>
      <c r="I132">
        <v>7986523</v>
      </c>
      <c r="K132">
        <v>2</v>
      </c>
      <c r="L132">
        <v>5</v>
      </c>
      <c r="M132">
        <v>27967</v>
      </c>
      <c r="N132">
        <v>13545</v>
      </c>
    </row>
    <row r="133" spans="1:14" x14ac:dyDescent="0.25">
      <c r="A133">
        <v>8</v>
      </c>
      <c r="B133">
        <v>30</v>
      </c>
      <c r="C133">
        <v>127838</v>
      </c>
      <c r="D133">
        <v>8862</v>
      </c>
      <c r="F133">
        <v>1</v>
      </c>
      <c r="G133">
        <v>0</v>
      </c>
      <c r="H133">
        <v>0</v>
      </c>
      <c r="I133">
        <v>7127</v>
      </c>
      <c r="K133">
        <v>3</v>
      </c>
      <c r="L133">
        <v>71</v>
      </c>
      <c r="M133">
        <v>32338</v>
      </c>
      <c r="N133">
        <v>32060</v>
      </c>
    </row>
    <row r="134" spans="1:14" x14ac:dyDescent="0.25">
      <c r="A134">
        <v>0</v>
      </c>
      <c r="B134">
        <v>1</v>
      </c>
      <c r="C134">
        <v>22403</v>
      </c>
      <c r="D134">
        <v>2856</v>
      </c>
      <c r="F134">
        <v>675</v>
      </c>
      <c r="G134">
        <v>958</v>
      </c>
      <c r="H134">
        <v>173930415</v>
      </c>
      <c r="I134">
        <v>56203515</v>
      </c>
      <c r="K134">
        <v>27</v>
      </c>
      <c r="L134">
        <v>75</v>
      </c>
      <c r="M134">
        <v>1681789</v>
      </c>
      <c r="N134">
        <v>697439</v>
      </c>
    </row>
    <row r="135" spans="1:14" x14ac:dyDescent="0.25">
      <c r="A135">
        <v>244</v>
      </c>
      <c r="B135">
        <v>83</v>
      </c>
      <c r="C135">
        <v>75407065</v>
      </c>
      <c r="D135">
        <v>7986523</v>
      </c>
      <c r="F135">
        <v>21</v>
      </c>
      <c r="G135">
        <v>37</v>
      </c>
      <c r="H135">
        <v>1312649</v>
      </c>
      <c r="I135">
        <v>0</v>
      </c>
      <c r="K135">
        <v>1</v>
      </c>
      <c r="L135">
        <v>17</v>
      </c>
      <c r="M135">
        <v>86117</v>
      </c>
      <c r="N135">
        <v>268</v>
      </c>
    </row>
    <row r="136" spans="1:14" x14ac:dyDescent="0.25">
      <c r="A136">
        <v>1</v>
      </c>
      <c r="B136">
        <v>0</v>
      </c>
      <c r="C136">
        <v>0</v>
      </c>
      <c r="D136">
        <v>7127</v>
      </c>
      <c r="F136">
        <v>40</v>
      </c>
      <c r="G136">
        <v>228</v>
      </c>
      <c r="H136">
        <v>2964554</v>
      </c>
      <c r="I136">
        <v>267965</v>
      </c>
      <c r="K136">
        <v>5</v>
      </c>
      <c r="L136">
        <v>1</v>
      </c>
      <c r="M136">
        <v>351115</v>
      </c>
      <c r="N136">
        <v>204759</v>
      </c>
    </row>
    <row r="137" spans="1:14" x14ac:dyDescent="0.25">
      <c r="A137">
        <v>675</v>
      </c>
      <c r="B137">
        <v>958</v>
      </c>
      <c r="C137">
        <v>173930415</v>
      </c>
      <c r="D137">
        <v>56203515</v>
      </c>
      <c r="F137">
        <v>0</v>
      </c>
      <c r="G137">
        <v>14</v>
      </c>
      <c r="H137">
        <v>0</v>
      </c>
      <c r="I137">
        <v>114</v>
      </c>
      <c r="K137">
        <v>11</v>
      </c>
      <c r="L137">
        <v>34</v>
      </c>
      <c r="M137">
        <v>591065</v>
      </c>
      <c r="N137">
        <v>2480</v>
      </c>
    </row>
    <row r="138" spans="1:14" x14ac:dyDescent="0.25">
      <c r="A138">
        <v>21</v>
      </c>
      <c r="B138">
        <v>37</v>
      </c>
      <c r="C138">
        <v>1312649</v>
      </c>
      <c r="D138">
        <v>0</v>
      </c>
      <c r="F138">
        <v>2</v>
      </c>
      <c r="G138">
        <v>49</v>
      </c>
      <c r="H138">
        <v>28408</v>
      </c>
      <c r="I138">
        <v>10547</v>
      </c>
      <c r="K138">
        <v>0</v>
      </c>
      <c r="L138">
        <v>2</v>
      </c>
      <c r="M138">
        <v>0</v>
      </c>
      <c r="N138">
        <v>2020</v>
      </c>
    </row>
    <row r="139" spans="1:14" x14ac:dyDescent="0.25">
      <c r="A139">
        <v>40</v>
      </c>
      <c r="B139">
        <v>228</v>
      </c>
      <c r="C139">
        <v>2964554</v>
      </c>
      <c r="D139">
        <v>267965</v>
      </c>
      <c r="F139">
        <v>5</v>
      </c>
      <c r="G139">
        <v>102</v>
      </c>
      <c r="H139">
        <v>1192534</v>
      </c>
      <c r="I139">
        <v>156558</v>
      </c>
      <c r="K139">
        <v>2</v>
      </c>
      <c r="L139">
        <v>25</v>
      </c>
      <c r="M139">
        <v>32269</v>
      </c>
      <c r="N139">
        <v>28565</v>
      </c>
    </row>
    <row r="140" spans="1:14" x14ac:dyDescent="0.25">
      <c r="A140">
        <v>0</v>
      </c>
      <c r="B140">
        <v>14</v>
      </c>
      <c r="C140">
        <v>0</v>
      </c>
      <c r="D140">
        <v>114</v>
      </c>
      <c r="F140">
        <v>5</v>
      </c>
      <c r="G140">
        <v>27</v>
      </c>
      <c r="H140">
        <v>74837</v>
      </c>
      <c r="I140">
        <v>20171</v>
      </c>
      <c r="K140">
        <v>6</v>
      </c>
      <c r="L140">
        <v>30</v>
      </c>
      <c r="M140">
        <v>416337</v>
      </c>
      <c r="N140">
        <v>0</v>
      </c>
    </row>
    <row r="141" spans="1:14" x14ac:dyDescent="0.25">
      <c r="A141">
        <v>2</v>
      </c>
      <c r="B141">
        <v>49</v>
      </c>
      <c r="C141">
        <v>28408</v>
      </c>
      <c r="D141">
        <v>10547</v>
      </c>
      <c r="F141">
        <v>13</v>
      </c>
      <c r="G141">
        <v>7</v>
      </c>
      <c r="H141">
        <v>497813</v>
      </c>
      <c r="I141">
        <v>313416</v>
      </c>
      <c r="K141">
        <v>3</v>
      </c>
      <c r="L141">
        <v>3</v>
      </c>
      <c r="M141">
        <v>167828</v>
      </c>
      <c r="N141">
        <v>95622</v>
      </c>
    </row>
    <row r="142" spans="1:14" x14ac:dyDescent="0.25">
      <c r="A142">
        <v>5</v>
      </c>
      <c r="B142">
        <v>102</v>
      </c>
      <c r="C142">
        <v>1192534</v>
      </c>
      <c r="D142">
        <v>156558</v>
      </c>
      <c r="F142">
        <v>3</v>
      </c>
      <c r="G142">
        <v>2</v>
      </c>
      <c r="H142">
        <v>61161</v>
      </c>
      <c r="I142">
        <v>1788</v>
      </c>
      <c r="K142">
        <v>37</v>
      </c>
      <c r="L142">
        <v>72</v>
      </c>
      <c r="M142">
        <v>2392452</v>
      </c>
      <c r="N142">
        <v>29486</v>
      </c>
    </row>
    <row r="143" spans="1:14" x14ac:dyDescent="0.25">
      <c r="A143">
        <v>5</v>
      </c>
      <c r="B143">
        <v>27</v>
      </c>
      <c r="C143">
        <v>74837</v>
      </c>
      <c r="D143">
        <v>20171</v>
      </c>
      <c r="F143">
        <v>0</v>
      </c>
      <c r="G143">
        <v>16</v>
      </c>
      <c r="H143">
        <v>98619</v>
      </c>
      <c r="I143">
        <v>21048</v>
      </c>
      <c r="K143">
        <v>25</v>
      </c>
      <c r="L143">
        <v>4</v>
      </c>
      <c r="M143">
        <v>178387</v>
      </c>
      <c r="N143">
        <v>189866</v>
      </c>
    </row>
    <row r="144" spans="1:14" x14ac:dyDescent="0.25">
      <c r="A144">
        <v>13</v>
      </c>
      <c r="B144">
        <v>7</v>
      </c>
      <c r="C144">
        <v>497813</v>
      </c>
      <c r="D144">
        <v>313416</v>
      </c>
      <c r="F144">
        <v>1</v>
      </c>
      <c r="G144">
        <v>2</v>
      </c>
      <c r="H144">
        <v>58071</v>
      </c>
      <c r="I144">
        <v>127</v>
      </c>
      <c r="K144">
        <v>0</v>
      </c>
      <c r="L144">
        <v>1</v>
      </c>
      <c r="M144">
        <v>0</v>
      </c>
      <c r="N144">
        <v>1</v>
      </c>
    </row>
    <row r="145" spans="1:14" x14ac:dyDescent="0.25">
      <c r="A145">
        <v>3</v>
      </c>
      <c r="B145">
        <v>2</v>
      </c>
      <c r="C145">
        <v>61161</v>
      </c>
      <c r="D145">
        <v>1788</v>
      </c>
      <c r="F145">
        <v>2</v>
      </c>
      <c r="G145">
        <v>1</v>
      </c>
      <c r="H145">
        <v>30466</v>
      </c>
      <c r="I145">
        <v>8853</v>
      </c>
      <c r="K145">
        <v>0</v>
      </c>
      <c r="L145">
        <v>20</v>
      </c>
      <c r="M145">
        <v>0</v>
      </c>
      <c r="N145">
        <v>16066</v>
      </c>
    </row>
    <row r="146" spans="1:14" x14ac:dyDescent="0.25">
      <c r="A146">
        <v>0</v>
      </c>
      <c r="B146">
        <v>16</v>
      </c>
      <c r="C146">
        <v>98619</v>
      </c>
      <c r="D146">
        <v>21048</v>
      </c>
      <c r="F146">
        <v>2</v>
      </c>
      <c r="G146">
        <v>5</v>
      </c>
      <c r="H146">
        <v>27967</v>
      </c>
      <c r="I146">
        <v>13545</v>
      </c>
      <c r="K146">
        <v>33</v>
      </c>
      <c r="L146">
        <v>27</v>
      </c>
      <c r="M146">
        <v>1781737</v>
      </c>
      <c r="N146">
        <v>4297</v>
      </c>
    </row>
    <row r="147" spans="1:14" x14ac:dyDescent="0.25">
      <c r="A147">
        <v>1</v>
      </c>
      <c r="B147">
        <v>2</v>
      </c>
      <c r="C147">
        <v>58071</v>
      </c>
      <c r="D147">
        <v>127</v>
      </c>
      <c r="F147">
        <v>3</v>
      </c>
      <c r="G147">
        <v>71</v>
      </c>
      <c r="H147">
        <v>32338</v>
      </c>
      <c r="I147">
        <v>32060</v>
      </c>
      <c r="K147">
        <v>2</v>
      </c>
      <c r="L147">
        <v>13</v>
      </c>
      <c r="M147">
        <v>34156</v>
      </c>
      <c r="N147">
        <v>7077</v>
      </c>
    </row>
    <row r="148" spans="1:14" x14ac:dyDescent="0.25">
      <c r="A148">
        <v>2</v>
      </c>
      <c r="B148">
        <v>1</v>
      </c>
      <c r="C148">
        <v>30466</v>
      </c>
      <c r="D148">
        <v>8853</v>
      </c>
      <c r="F148">
        <v>27</v>
      </c>
      <c r="G148">
        <v>75</v>
      </c>
      <c r="H148">
        <v>1681789</v>
      </c>
      <c r="I148">
        <v>697439</v>
      </c>
      <c r="K148">
        <v>0</v>
      </c>
      <c r="L148">
        <v>1</v>
      </c>
      <c r="M148">
        <v>2545</v>
      </c>
      <c r="N148">
        <v>3351</v>
      </c>
    </row>
    <row r="149" spans="1:14" x14ac:dyDescent="0.25">
      <c r="A149">
        <v>2</v>
      </c>
      <c r="B149">
        <v>5</v>
      </c>
      <c r="C149">
        <v>27967</v>
      </c>
      <c r="D149">
        <v>13545</v>
      </c>
      <c r="F149">
        <v>1</v>
      </c>
      <c r="G149">
        <v>17</v>
      </c>
      <c r="H149">
        <v>86117</v>
      </c>
      <c r="I149">
        <v>268</v>
      </c>
      <c r="K149">
        <v>2</v>
      </c>
      <c r="L149">
        <v>0</v>
      </c>
      <c r="M149">
        <v>9778</v>
      </c>
      <c r="N149">
        <v>31189</v>
      </c>
    </row>
    <row r="150" spans="1:14" x14ac:dyDescent="0.25">
      <c r="A150">
        <v>3</v>
      </c>
      <c r="B150">
        <v>71</v>
      </c>
      <c r="C150">
        <v>32338</v>
      </c>
      <c r="D150">
        <v>32060</v>
      </c>
      <c r="F150">
        <v>5</v>
      </c>
      <c r="G150">
        <v>1</v>
      </c>
      <c r="H150">
        <v>351115</v>
      </c>
      <c r="I150">
        <v>204759</v>
      </c>
      <c r="K150">
        <v>16</v>
      </c>
      <c r="L150">
        <v>202</v>
      </c>
      <c r="M150">
        <v>42247</v>
      </c>
      <c r="N150">
        <v>107703</v>
      </c>
    </row>
    <row r="151" spans="1:14" x14ac:dyDescent="0.25">
      <c r="A151">
        <v>27</v>
      </c>
      <c r="B151">
        <v>75</v>
      </c>
      <c r="C151">
        <v>1681789</v>
      </c>
      <c r="D151">
        <v>697439</v>
      </c>
      <c r="F151">
        <v>11</v>
      </c>
      <c r="G151">
        <v>34</v>
      </c>
      <c r="H151">
        <v>591065</v>
      </c>
      <c r="I151">
        <v>2480</v>
      </c>
      <c r="K151">
        <v>3</v>
      </c>
      <c r="L151">
        <v>9</v>
      </c>
      <c r="M151">
        <v>298860</v>
      </c>
      <c r="N151">
        <v>3286</v>
      </c>
    </row>
    <row r="152" spans="1:14" x14ac:dyDescent="0.25">
      <c r="A152">
        <v>1</v>
      </c>
      <c r="B152">
        <v>17</v>
      </c>
      <c r="C152">
        <v>86117</v>
      </c>
      <c r="D152">
        <v>268</v>
      </c>
      <c r="F152">
        <v>0</v>
      </c>
      <c r="G152">
        <v>2</v>
      </c>
      <c r="H152">
        <v>0</v>
      </c>
      <c r="I152">
        <v>2020</v>
      </c>
      <c r="K152">
        <v>0</v>
      </c>
      <c r="L152">
        <v>2</v>
      </c>
      <c r="M152">
        <v>5573</v>
      </c>
      <c r="N152">
        <v>1768</v>
      </c>
    </row>
    <row r="153" spans="1:14" x14ac:dyDescent="0.25">
      <c r="A153">
        <v>5</v>
      </c>
      <c r="B153">
        <v>1</v>
      </c>
      <c r="C153">
        <v>351115</v>
      </c>
      <c r="D153">
        <v>204759</v>
      </c>
      <c r="F153">
        <v>2</v>
      </c>
      <c r="G153">
        <v>25</v>
      </c>
      <c r="H153">
        <v>32269</v>
      </c>
      <c r="I153">
        <v>28565</v>
      </c>
      <c r="K153">
        <v>0</v>
      </c>
      <c r="L153">
        <v>1</v>
      </c>
      <c r="M153">
        <v>14619</v>
      </c>
      <c r="N153">
        <v>0</v>
      </c>
    </row>
    <row r="154" spans="1:14" x14ac:dyDescent="0.25">
      <c r="A154">
        <v>11</v>
      </c>
      <c r="B154">
        <v>34</v>
      </c>
      <c r="C154">
        <v>591065</v>
      </c>
      <c r="D154">
        <v>2480</v>
      </c>
      <c r="F154">
        <v>6</v>
      </c>
      <c r="G154">
        <v>30</v>
      </c>
      <c r="H154">
        <v>416337</v>
      </c>
      <c r="I154">
        <v>0</v>
      </c>
      <c r="K154">
        <v>11</v>
      </c>
      <c r="L154">
        <v>27</v>
      </c>
      <c r="M154">
        <v>255673</v>
      </c>
      <c r="N154">
        <v>153909</v>
      </c>
    </row>
    <row r="155" spans="1:14" x14ac:dyDescent="0.25">
      <c r="A155">
        <v>0</v>
      </c>
      <c r="B155">
        <v>2</v>
      </c>
      <c r="C155">
        <v>0</v>
      </c>
      <c r="D155">
        <v>2020</v>
      </c>
      <c r="F155">
        <v>3</v>
      </c>
      <c r="G155">
        <v>3</v>
      </c>
      <c r="H155">
        <v>167828</v>
      </c>
      <c r="I155">
        <v>95622</v>
      </c>
      <c r="K155">
        <v>3</v>
      </c>
      <c r="L155">
        <v>23</v>
      </c>
      <c r="M155">
        <v>0</v>
      </c>
      <c r="N155">
        <v>8176</v>
      </c>
    </row>
    <row r="156" spans="1:14" x14ac:dyDescent="0.25">
      <c r="A156">
        <v>2</v>
      </c>
      <c r="B156">
        <v>25</v>
      </c>
      <c r="C156">
        <v>32269</v>
      </c>
      <c r="D156">
        <v>28565</v>
      </c>
      <c r="F156">
        <v>37</v>
      </c>
      <c r="G156">
        <v>72</v>
      </c>
      <c r="H156">
        <v>2392452</v>
      </c>
      <c r="I156">
        <v>29486</v>
      </c>
      <c r="K156">
        <v>0</v>
      </c>
      <c r="L156">
        <v>87</v>
      </c>
      <c r="M156">
        <v>27708</v>
      </c>
      <c r="N156">
        <v>28116</v>
      </c>
    </row>
    <row r="157" spans="1:14" x14ac:dyDescent="0.25">
      <c r="A157">
        <v>6</v>
      </c>
      <c r="B157">
        <v>30</v>
      </c>
      <c r="C157">
        <v>416337</v>
      </c>
      <c r="D157">
        <v>0</v>
      </c>
      <c r="F157">
        <v>25</v>
      </c>
      <c r="G157">
        <v>4</v>
      </c>
      <c r="H157">
        <v>178387</v>
      </c>
      <c r="I157">
        <v>189866</v>
      </c>
      <c r="K157">
        <v>0</v>
      </c>
      <c r="L157">
        <v>1</v>
      </c>
      <c r="M157">
        <v>3158</v>
      </c>
      <c r="N157">
        <v>0</v>
      </c>
    </row>
    <row r="158" spans="1:14" x14ac:dyDescent="0.25">
      <c r="A158">
        <v>3</v>
      </c>
      <c r="B158">
        <v>3</v>
      </c>
      <c r="C158">
        <v>167828</v>
      </c>
      <c r="D158">
        <v>95622</v>
      </c>
      <c r="F158">
        <v>0</v>
      </c>
      <c r="G158">
        <v>1</v>
      </c>
      <c r="H158">
        <v>0</v>
      </c>
      <c r="I158">
        <v>1</v>
      </c>
      <c r="K158">
        <v>0</v>
      </c>
      <c r="L158">
        <v>6</v>
      </c>
      <c r="M158">
        <v>12201</v>
      </c>
      <c r="N158">
        <v>336</v>
      </c>
    </row>
    <row r="159" spans="1:14" x14ac:dyDescent="0.25">
      <c r="A159">
        <v>37</v>
      </c>
      <c r="B159">
        <v>72</v>
      </c>
      <c r="C159">
        <v>2392452</v>
      </c>
      <c r="D159">
        <v>29486</v>
      </c>
      <c r="F159">
        <v>0</v>
      </c>
      <c r="G159">
        <v>20</v>
      </c>
      <c r="H159">
        <v>0</v>
      </c>
      <c r="I159">
        <v>16066</v>
      </c>
      <c r="K159">
        <v>3</v>
      </c>
      <c r="L159">
        <v>55</v>
      </c>
      <c r="M159">
        <v>111587</v>
      </c>
      <c r="N159">
        <v>64703</v>
      </c>
    </row>
    <row r="160" spans="1:14" x14ac:dyDescent="0.25">
      <c r="A160">
        <v>25</v>
      </c>
      <c r="B160">
        <v>4</v>
      </c>
      <c r="C160">
        <v>178387</v>
      </c>
      <c r="D160">
        <v>189866</v>
      </c>
      <c r="F160">
        <v>33</v>
      </c>
      <c r="G160">
        <v>27</v>
      </c>
      <c r="H160">
        <v>1781737</v>
      </c>
      <c r="I160">
        <v>4297</v>
      </c>
      <c r="K160">
        <v>3</v>
      </c>
      <c r="L160">
        <v>41</v>
      </c>
      <c r="M160">
        <v>0</v>
      </c>
      <c r="N160">
        <v>27404</v>
      </c>
    </row>
    <row r="161" spans="1:14" x14ac:dyDescent="0.25">
      <c r="A161">
        <v>0</v>
      </c>
      <c r="B161">
        <v>1</v>
      </c>
      <c r="C161">
        <v>0</v>
      </c>
      <c r="D161">
        <v>1</v>
      </c>
      <c r="F161">
        <v>2</v>
      </c>
      <c r="G161">
        <v>13</v>
      </c>
      <c r="H161">
        <v>34156</v>
      </c>
      <c r="I161">
        <v>7077</v>
      </c>
      <c r="K161">
        <v>0</v>
      </c>
      <c r="L161">
        <v>1</v>
      </c>
      <c r="M161">
        <v>17</v>
      </c>
      <c r="N161">
        <v>1469</v>
      </c>
    </row>
    <row r="162" spans="1:14" x14ac:dyDescent="0.25">
      <c r="A162">
        <v>0</v>
      </c>
      <c r="B162">
        <v>20</v>
      </c>
      <c r="C162">
        <v>0</v>
      </c>
      <c r="D162">
        <v>16066</v>
      </c>
      <c r="F162">
        <v>0</v>
      </c>
      <c r="G162">
        <v>1</v>
      </c>
      <c r="H162">
        <v>2545</v>
      </c>
      <c r="I162">
        <v>3351</v>
      </c>
      <c r="K162">
        <v>0</v>
      </c>
      <c r="L162">
        <v>12</v>
      </c>
      <c r="M162">
        <v>19542</v>
      </c>
      <c r="N162">
        <v>0</v>
      </c>
    </row>
    <row r="163" spans="1:14" x14ac:dyDescent="0.25">
      <c r="A163">
        <v>33</v>
      </c>
      <c r="B163">
        <v>27</v>
      </c>
      <c r="C163">
        <v>1781737</v>
      </c>
      <c r="D163">
        <v>4297</v>
      </c>
      <c r="F163">
        <v>2</v>
      </c>
      <c r="G163">
        <v>0</v>
      </c>
      <c r="H163">
        <v>9778</v>
      </c>
      <c r="I163">
        <v>31189</v>
      </c>
      <c r="K163">
        <v>1259</v>
      </c>
      <c r="L163">
        <v>940</v>
      </c>
      <c r="M163">
        <v>100748293</v>
      </c>
      <c r="N163">
        <v>150071</v>
      </c>
    </row>
    <row r="164" spans="1:14" x14ac:dyDescent="0.25">
      <c r="A164">
        <v>2</v>
      </c>
      <c r="B164">
        <v>13</v>
      </c>
      <c r="C164">
        <v>34156</v>
      </c>
      <c r="D164">
        <v>7077</v>
      </c>
      <c r="F164">
        <v>16</v>
      </c>
      <c r="G164">
        <v>202</v>
      </c>
      <c r="H164">
        <v>42247</v>
      </c>
      <c r="I164">
        <v>107703</v>
      </c>
      <c r="K164">
        <v>0</v>
      </c>
      <c r="L164">
        <v>85</v>
      </c>
      <c r="M164">
        <v>38344</v>
      </c>
      <c r="N164">
        <v>13063</v>
      </c>
    </row>
    <row r="165" spans="1:14" x14ac:dyDescent="0.25">
      <c r="A165">
        <v>0</v>
      </c>
      <c r="B165">
        <v>1</v>
      </c>
      <c r="C165">
        <v>2545</v>
      </c>
      <c r="D165">
        <v>3351</v>
      </c>
      <c r="F165">
        <v>3</v>
      </c>
      <c r="G165">
        <v>9</v>
      </c>
      <c r="H165">
        <v>298860</v>
      </c>
      <c r="I165">
        <v>3286</v>
      </c>
      <c r="K165">
        <v>3</v>
      </c>
      <c r="L165">
        <v>12</v>
      </c>
      <c r="M165">
        <v>256135</v>
      </c>
      <c r="N165">
        <v>10627</v>
      </c>
    </row>
    <row r="166" spans="1:14" x14ac:dyDescent="0.25">
      <c r="A166">
        <v>2</v>
      </c>
      <c r="B166">
        <v>0</v>
      </c>
      <c r="C166">
        <v>9778</v>
      </c>
      <c r="D166">
        <v>31189</v>
      </c>
      <c r="F166">
        <v>0</v>
      </c>
      <c r="G166">
        <v>2</v>
      </c>
      <c r="H166">
        <v>5573</v>
      </c>
      <c r="I166">
        <v>1768</v>
      </c>
      <c r="K166">
        <v>1</v>
      </c>
      <c r="L166">
        <v>10</v>
      </c>
      <c r="M166">
        <v>58869</v>
      </c>
      <c r="N166">
        <v>25593</v>
      </c>
    </row>
    <row r="167" spans="1:14" x14ac:dyDescent="0.25">
      <c r="A167">
        <v>16</v>
      </c>
      <c r="B167">
        <v>202</v>
      </c>
      <c r="C167">
        <v>42247</v>
      </c>
      <c r="D167">
        <v>107703</v>
      </c>
      <c r="F167">
        <v>0</v>
      </c>
      <c r="G167">
        <v>1</v>
      </c>
      <c r="H167">
        <v>14619</v>
      </c>
      <c r="I167">
        <v>0</v>
      </c>
      <c r="K167">
        <v>0</v>
      </c>
      <c r="L167">
        <v>1</v>
      </c>
      <c r="M167">
        <v>3490</v>
      </c>
      <c r="N167">
        <v>0</v>
      </c>
    </row>
    <row r="168" spans="1:14" x14ac:dyDescent="0.25">
      <c r="A168">
        <v>3</v>
      </c>
      <c r="B168">
        <v>9</v>
      </c>
      <c r="C168">
        <v>298860</v>
      </c>
      <c r="D168">
        <v>3286</v>
      </c>
      <c r="F168">
        <v>11</v>
      </c>
      <c r="G168">
        <v>27</v>
      </c>
      <c r="H168">
        <v>255673</v>
      </c>
      <c r="I168">
        <v>153909</v>
      </c>
      <c r="K168">
        <v>4</v>
      </c>
      <c r="L168">
        <v>2</v>
      </c>
      <c r="M168">
        <v>216898</v>
      </c>
      <c r="N168">
        <v>0</v>
      </c>
    </row>
    <row r="169" spans="1:14" x14ac:dyDescent="0.25">
      <c r="A169">
        <v>0</v>
      </c>
      <c r="B169">
        <v>2</v>
      </c>
      <c r="C169">
        <v>5573</v>
      </c>
      <c r="D169">
        <v>1768</v>
      </c>
      <c r="F169">
        <v>3</v>
      </c>
      <c r="G169">
        <v>23</v>
      </c>
      <c r="H169">
        <v>0</v>
      </c>
      <c r="I169">
        <v>8176</v>
      </c>
      <c r="K169">
        <v>27</v>
      </c>
      <c r="L169">
        <v>28</v>
      </c>
      <c r="M169">
        <v>3097042</v>
      </c>
      <c r="N169">
        <v>1415</v>
      </c>
    </row>
    <row r="170" spans="1:14" x14ac:dyDescent="0.25">
      <c r="A170">
        <v>0</v>
      </c>
      <c r="B170">
        <v>1</v>
      </c>
      <c r="C170">
        <v>14619</v>
      </c>
      <c r="D170">
        <v>0</v>
      </c>
      <c r="F170">
        <v>0</v>
      </c>
      <c r="G170">
        <v>87</v>
      </c>
      <c r="H170">
        <v>27708</v>
      </c>
      <c r="I170">
        <v>28116</v>
      </c>
      <c r="K170">
        <v>2</v>
      </c>
      <c r="L170">
        <v>6</v>
      </c>
      <c r="M170">
        <v>133533</v>
      </c>
      <c r="N170">
        <v>9139</v>
      </c>
    </row>
    <row r="171" spans="1:14" x14ac:dyDescent="0.25">
      <c r="A171">
        <v>11</v>
      </c>
      <c r="B171">
        <v>27</v>
      </c>
      <c r="C171">
        <v>255673</v>
      </c>
      <c r="D171">
        <v>153909</v>
      </c>
      <c r="F171">
        <v>0</v>
      </c>
      <c r="G171">
        <v>1</v>
      </c>
      <c r="H171">
        <v>3158</v>
      </c>
      <c r="I171">
        <v>0</v>
      </c>
      <c r="K171">
        <v>8</v>
      </c>
      <c r="L171">
        <v>13</v>
      </c>
      <c r="M171">
        <v>144644</v>
      </c>
      <c r="N171">
        <v>29644</v>
      </c>
    </row>
    <row r="172" spans="1:14" x14ac:dyDescent="0.25">
      <c r="A172">
        <v>3</v>
      </c>
      <c r="B172">
        <v>23</v>
      </c>
      <c r="C172">
        <v>0</v>
      </c>
      <c r="D172">
        <v>8176</v>
      </c>
      <c r="F172">
        <v>0</v>
      </c>
      <c r="G172">
        <v>6</v>
      </c>
      <c r="H172">
        <v>12201</v>
      </c>
      <c r="I172">
        <v>336</v>
      </c>
      <c r="K172">
        <v>1</v>
      </c>
      <c r="L172">
        <v>5</v>
      </c>
      <c r="M172">
        <v>13295</v>
      </c>
      <c r="N172">
        <v>2013</v>
      </c>
    </row>
    <row r="173" spans="1:14" x14ac:dyDescent="0.25">
      <c r="A173">
        <v>0</v>
      </c>
      <c r="B173">
        <v>87</v>
      </c>
      <c r="C173">
        <v>27708</v>
      </c>
      <c r="D173">
        <v>28116</v>
      </c>
      <c r="F173">
        <v>3</v>
      </c>
      <c r="G173">
        <v>55</v>
      </c>
      <c r="H173">
        <v>111587</v>
      </c>
      <c r="I173">
        <v>64703</v>
      </c>
      <c r="K173">
        <v>448</v>
      </c>
      <c r="L173">
        <v>2181</v>
      </c>
      <c r="M173">
        <v>36088510</v>
      </c>
      <c r="N173">
        <v>9502948</v>
      </c>
    </row>
    <row r="174" spans="1:14" x14ac:dyDescent="0.25">
      <c r="A174">
        <v>0</v>
      </c>
      <c r="B174">
        <v>1</v>
      </c>
      <c r="C174">
        <v>3158</v>
      </c>
      <c r="D174">
        <v>0</v>
      </c>
      <c r="F174">
        <v>3</v>
      </c>
      <c r="G174">
        <v>41</v>
      </c>
      <c r="H174">
        <v>0</v>
      </c>
      <c r="I174">
        <v>27404</v>
      </c>
      <c r="K174">
        <v>16</v>
      </c>
      <c r="L174">
        <v>183</v>
      </c>
      <c r="M174">
        <v>1573198</v>
      </c>
      <c r="N174">
        <v>284792</v>
      </c>
    </row>
    <row r="175" spans="1:14" x14ac:dyDescent="0.25">
      <c r="A175">
        <v>0</v>
      </c>
      <c r="B175">
        <v>6</v>
      </c>
      <c r="C175">
        <v>12201</v>
      </c>
      <c r="D175">
        <v>336</v>
      </c>
      <c r="F175">
        <v>0</v>
      </c>
      <c r="G175">
        <v>1</v>
      </c>
      <c r="H175">
        <v>17</v>
      </c>
      <c r="I175">
        <v>1469</v>
      </c>
      <c r="K175">
        <v>12</v>
      </c>
      <c r="L175">
        <v>2</v>
      </c>
      <c r="M175">
        <v>924303</v>
      </c>
      <c r="N175">
        <v>678354</v>
      </c>
    </row>
    <row r="176" spans="1:14" x14ac:dyDescent="0.25">
      <c r="A176">
        <v>3</v>
      </c>
      <c r="B176">
        <v>55</v>
      </c>
      <c r="C176">
        <v>111587</v>
      </c>
      <c r="D176">
        <v>64703</v>
      </c>
      <c r="F176">
        <v>0</v>
      </c>
      <c r="G176">
        <v>12</v>
      </c>
      <c r="H176">
        <v>19542</v>
      </c>
      <c r="I176">
        <v>0</v>
      </c>
      <c r="K176">
        <v>10</v>
      </c>
      <c r="L176">
        <v>22</v>
      </c>
      <c r="M176">
        <v>610167</v>
      </c>
      <c r="N176">
        <v>279832</v>
      </c>
    </row>
    <row r="177" spans="1:14" x14ac:dyDescent="0.25">
      <c r="A177">
        <v>3</v>
      </c>
      <c r="B177">
        <v>41</v>
      </c>
      <c r="C177">
        <v>0</v>
      </c>
      <c r="D177">
        <v>27404</v>
      </c>
      <c r="F177">
        <v>1259</v>
      </c>
      <c r="G177">
        <v>940</v>
      </c>
      <c r="H177">
        <v>100748293</v>
      </c>
      <c r="I177">
        <v>150071</v>
      </c>
      <c r="K177">
        <v>4</v>
      </c>
      <c r="L177">
        <v>21</v>
      </c>
      <c r="M177">
        <v>51469</v>
      </c>
      <c r="N177">
        <v>49833</v>
      </c>
    </row>
    <row r="178" spans="1:14" x14ac:dyDescent="0.25">
      <c r="A178">
        <v>0</v>
      </c>
      <c r="B178">
        <v>1</v>
      </c>
      <c r="C178">
        <v>17</v>
      </c>
      <c r="D178">
        <v>1469</v>
      </c>
      <c r="F178">
        <v>0</v>
      </c>
      <c r="G178">
        <v>85</v>
      </c>
      <c r="H178">
        <v>38344</v>
      </c>
      <c r="I178">
        <v>13063</v>
      </c>
      <c r="K178">
        <v>0</v>
      </c>
      <c r="L178">
        <v>2</v>
      </c>
      <c r="M178">
        <v>0</v>
      </c>
      <c r="N178">
        <v>4875</v>
      </c>
    </row>
    <row r="179" spans="1:14" x14ac:dyDescent="0.25">
      <c r="A179">
        <v>0</v>
      </c>
      <c r="B179">
        <v>12</v>
      </c>
      <c r="C179">
        <v>19542</v>
      </c>
      <c r="D179">
        <v>0</v>
      </c>
      <c r="F179">
        <v>3</v>
      </c>
      <c r="G179">
        <v>12</v>
      </c>
      <c r="H179">
        <v>256135</v>
      </c>
      <c r="I179">
        <v>10627</v>
      </c>
      <c r="K179">
        <v>5</v>
      </c>
      <c r="L179">
        <v>11</v>
      </c>
      <c r="M179">
        <v>108808</v>
      </c>
      <c r="N179">
        <v>2763</v>
      </c>
    </row>
    <row r="180" spans="1:14" x14ac:dyDescent="0.25">
      <c r="A180">
        <v>1259</v>
      </c>
      <c r="B180">
        <v>940</v>
      </c>
      <c r="C180">
        <v>100748293</v>
      </c>
      <c r="D180">
        <v>150071</v>
      </c>
      <c r="F180">
        <v>1</v>
      </c>
      <c r="G180">
        <v>10</v>
      </c>
      <c r="H180">
        <v>58869</v>
      </c>
      <c r="I180">
        <v>25593</v>
      </c>
      <c r="K180">
        <v>70</v>
      </c>
      <c r="L180">
        <v>8</v>
      </c>
      <c r="M180">
        <v>9817572</v>
      </c>
      <c r="N180">
        <v>3085229</v>
      </c>
    </row>
    <row r="181" spans="1:14" x14ac:dyDescent="0.25">
      <c r="A181">
        <v>0</v>
      </c>
      <c r="B181">
        <v>85</v>
      </c>
      <c r="C181">
        <v>38344</v>
      </c>
      <c r="D181">
        <v>13063</v>
      </c>
      <c r="F181">
        <v>0</v>
      </c>
      <c r="G181">
        <v>1</v>
      </c>
      <c r="H181">
        <v>3490</v>
      </c>
      <c r="I181">
        <v>0</v>
      </c>
      <c r="K181">
        <v>0</v>
      </c>
      <c r="L181">
        <v>1</v>
      </c>
      <c r="M181">
        <v>598</v>
      </c>
      <c r="N181">
        <v>1123</v>
      </c>
    </row>
    <row r="182" spans="1:14" x14ac:dyDescent="0.25">
      <c r="A182">
        <v>3</v>
      </c>
      <c r="B182">
        <v>12</v>
      </c>
      <c r="C182">
        <v>256135</v>
      </c>
      <c r="D182">
        <v>10627</v>
      </c>
      <c r="F182">
        <v>4</v>
      </c>
      <c r="G182">
        <v>2</v>
      </c>
      <c r="H182">
        <v>216898</v>
      </c>
      <c r="I182">
        <v>0</v>
      </c>
      <c r="K182">
        <v>0</v>
      </c>
      <c r="L182">
        <v>4</v>
      </c>
      <c r="M182">
        <v>0</v>
      </c>
      <c r="N182">
        <v>405</v>
      </c>
    </row>
    <row r="183" spans="1:14" x14ac:dyDescent="0.25">
      <c r="A183">
        <v>1</v>
      </c>
      <c r="B183">
        <v>10</v>
      </c>
      <c r="C183">
        <v>58869</v>
      </c>
      <c r="D183">
        <v>25593</v>
      </c>
      <c r="F183">
        <v>27</v>
      </c>
      <c r="G183">
        <v>28</v>
      </c>
      <c r="H183">
        <v>3097042</v>
      </c>
      <c r="I183">
        <v>1415</v>
      </c>
      <c r="K183">
        <v>2</v>
      </c>
      <c r="L183">
        <v>17</v>
      </c>
      <c r="M183">
        <v>52936</v>
      </c>
      <c r="N183">
        <v>30371</v>
      </c>
    </row>
    <row r="184" spans="1:14" x14ac:dyDescent="0.25">
      <c r="A184">
        <v>0</v>
      </c>
      <c r="B184">
        <v>1</v>
      </c>
      <c r="C184">
        <v>3490</v>
      </c>
      <c r="D184">
        <v>0</v>
      </c>
      <c r="F184">
        <v>34</v>
      </c>
      <c r="G184">
        <v>314</v>
      </c>
      <c r="H184">
        <v>3841838</v>
      </c>
      <c r="I184">
        <v>372234</v>
      </c>
      <c r="K184">
        <v>1</v>
      </c>
      <c r="L184">
        <v>2</v>
      </c>
      <c r="M184">
        <v>41972</v>
      </c>
      <c r="N184">
        <v>8102</v>
      </c>
    </row>
    <row r="185" spans="1:14" x14ac:dyDescent="0.25">
      <c r="A185">
        <v>4</v>
      </c>
      <c r="B185">
        <v>2</v>
      </c>
      <c r="C185">
        <v>216898</v>
      </c>
      <c r="D185">
        <v>0</v>
      </c>
      <c r="F185">
        <v>2</v>
      </c>
      <c r="G185">
        <v>6</v>
      </c>
      <c r="H185">
        <v>133533</v>
      </c>
      <c r="I185">
        <v>9139</v>
      </c>
      <c r="K185">
        <v>0</v>
      </c>
      <c r="L185">
        <v>4</v>
      </c>
      <c r="M185">
        <v>29013</v>
      </c>
      <c r="N185">
        <v>0</v>
      </c>
    </row>
    <row r="186" spans="1:14" x14ac:dyDescent="0.25">
      <c r="A186">
        <v>27</v>
      </c>
      <c r="B186">
        <v>28</v>
      </c>
      <c r="C186">
        <v>3097042</v>
      </c>
      <c r="D186">
        <v>1415</v>
      </c>
      <c r="F186">
        <v>8</v>
      </c>
      <c r="G186">
        <v>13</v>
      </c>
      <c r="H186">
        <v>144644</v>
      </c>
      <c r="I186">
        <v>29644</v>
      </c>
      <c r="K186">
        <v>9</v>
      </c>
      <c r="L186">
        <v>14</v>
      </c>
      <c r="M186">
        <v>25513</v>
      </c>
      <c r="N186">
        <v>86976</v>
      </c>
    </row>
    <row r="187" spans="1:14" x14ac:dyDescent="0.25">
      <c r="A187">
        <v>34</v>
      </c>
      <c r="B187">
        <v>314</v>
      </c>
      <c r="C187">
        <v>3841838</v>
      </c>
      <c r="D187">
        <v>372234</v>
      </c>
      <c r="F187">
        <v>1</v>
      </c>
      <c r="G187">
        <v>5</v>
      </c>
      <c r="H187">
        <v>13295</v>
      </c>
      <c r="I187">
        <v>2013</v>
      </c>
      <c r="K187">
        <v>10</v>
      </c>
      <c r="L187">
        <v>3</v>
      </c>
      <c r="M187">
        <v>252412</v>
      </c>
      <c r="N187">
        <v>381</v>
      </c>
    </row>
    <row r="188" spans="1:14" x14ac:dyDescent="0.25">
      <c r="A188">
        <v>2</v>
      </c>
      <c r="B188">
        <v>6</v>
      </c>
      <c r="C188">
        <v>133533</v>
      </c>
      <c r="D188">
        <v>9139</v>
      </c>
      <c r="F188">
        <v>448</v>
      </c>
      <c r="G188">
        <v>2181</v>
      </c>
      <c r="H188">
        <v>36088510</v>
      </c>
      <c r="I188">
        <v>9502948</v>
      </c>
      <c r="K188">
        <v>13</v>
      </c>
      <c r="L188">
        <v>59</v>
      </c>
      <c r="M188">
        <v>617967</v>
      </c>
      <c r="N188">
        <v>116694</v>
      </c>
    </row>
    <row r="189" spans="1:14" x14ac:dyDescent="0.25">
      <c r="A189">
        <v>8</v>
      </c>
      <c r="B189">
        <v>13</v>
      </c>
      <c r="C189">
        <v>144644</v>
      </c>
      <c r="D189">
        <v>29644</v>
      </c>
      <c r="F189">
        <v>16</v>
      </c>
      <c r="G189">
        <v>183</v>
      </c>
      <c r="H189">
        <v>1573198</v>
      </c>
      <c r="I189">
        <v>284792</v>
      </c>
      <c r="K189">
        <v>0</v>
      </c>
      <c r="L189">
        <v>1</v>
      </c>
      <c r="M189">
        <v>7109</v>
      </c>
      <c r="N189">
        <v>738</v>
      </c>
    </row>
    <row r="190" spans="1:14" x14ac:dyDescent="0.25">
      <c r="A190">
        <v>1</v>
      </c>
      <c r="B190">
        <v>5</v>
      </c>
      <c r="C190">
        <v>13295</v>
      </c>
      <c r="D190">
        <v>2013</v>
      </c>
      <c r="F190">
        <v>12</v>
      </c>
      <c r="G190">
        <v>2</v>
      </c>
      <c r="H190">
        <v>924303</v>
      </c>
      <c r="I190">
        <v>678354</v>
      </c>
      <c r="K190">
        <v>0</v>
      </c>
      <c r="L190">
        <v>7</v>
      </c>
      <c r="M190">
        <v>17231</v>
      </c>
      <c r="N190">
        <v>7119</v>
      </c>
    </row>
    <row r="191" spans="1:14" x14ac:dyDescent="0.25">
      <c r="A191">
        <v>448</v>
      </c>
      <c r="B191">
        <v>2181</v>
      </c>
      <c r="C191">
        <v>36088510</v>
      </c>
      <c r="D191">
        <v>9502948</v>
      </c>
      <c r="F191">
        <v>10</v>
      </c>
      <c r="G191">
        <v>22</v>
      </c>
      <c r="H191">
        <v>610167</v>
      </c>
      <c r="I191">
        <v>279832</v>
      </c>
      <c r="K191">
        <v>0</v>
      </c>
      <c r="L191">
        <v>7</v>
      </c>
      <c r="M191">
        <v>0</v>
      </c>
      <c r="N191">
        <v>2058</v>
      </c>
    </row>
    <row r="192" spans="1:14" x14ac:dyDescent="0.25">
      <c r="A192">
        <v>16</v>
      </c>
      <c r="B192">
        <v>183</v>
      </c>
      <c r="C192">
        <v>1573198</v>
      </c>
      <c r="D192">
        <v>284792</v>
      </c>
      <c r="F192">
        <v>4</v>
      </c>
      <c r="G192">
        <v>21</v>
      </c>
      <c r="H192">
        <v>51469</v>
      </c>
      <c r="I192">
        <v>49833</v>
      </c>
      <c r="K192">
        <v>0</v>
      </c>
      <c r="L192">
        <v>1</v>
      </c>
      <c r="M192">
        <v>8026</v>
      </c>
      <c r="N192">
        <v>0</v>
      </c>
    </row>
    <row r="193" spans="1:14" x14ac:dyDescent="0.25">
      <c r="A193">
        <v>12</v>
      </c>
      <c r="B193">
        <v>2</v>
      </c>
      <c r="C193">
        <v>924303</v>
      </c>
      <c r="D193">
        <v>678354</v>
      </c>
      <c r="F193">
        <v>0</v>
      </c>
      <c r="G193">
        <v>2</v>
      </c>
      <c r="H193">
        <v>0</v>
      </c>
      <c r="I193">
        <v>4875</v>
      </c>
      <c r="K193">
        <v>23</v>
      </c>
      <c r="L193">
        <v>0</v>
      </c>
      <c r="M193">
        <v>1585070</v>
      </c>
      <c r="N193">
        <v>0</v>
      </c>
    </row>
    <row r="194" spans="1:14" x14ac:dyDescent="0.25">
      <c r="A194">
        <v>10</v>
      </c>
      <c r="B194">
        <v>22</v>
      </c>
      <c r="C194">
        <v>610167</v>
      </c>
      <c r="D194">
        <v>279832</v>
      </c>
      <c r="F194">
        <v>5</v>
      </c>
      <c r="G194">
        <v>11</v>
      </c>
      <c r="H194">
        <v>108808</v>
      </c>
      <c r="I194">
        <v>2763</v>
      </c>
      <c r="K194">
        <v>2</v>
      </c>
      <c r="L194">
        <v>12</v>
      </c>
      <c r="M194">
        <v>207117</v>
      </c>
      <c r="N194">
        <v>34</v>
      </c>
    </row>
    <row r="195" spans="1:14" x14ac:dyDescent="0.25">
      <c r="A195">
        <v>4</v>
      </c>
      <c r="B195">
        <v>21</v>
      </c>
      <c r="C195">
        <v>51469</v>
      </c>
      <c r="D195">
        <v>49833</v>
      </c>
      <c r="F195">
        <v>70</v>
      </c>
      <c r="G195">
        <v>8</v>
      </c>
      <c r="H195">
        <v>9817572</v>
      </c>
      <c r="I195">
        <v>3085229</v>
      </c>
      <c r="K195">
        <v>1</v>
      </c>
      <c r="L195">
        <v>3</v>
      </c>
      <c r="M195">
        <v>8164</v>
      </c>
      <c r="N195">
        <v>15103</v>
      </c>
    </row>
    <row r="196" spans="1:14" x14ac:dyDescent="0.25">
      <c r="A196">
        <v>0</v>
      </c>
      <c r="B196">
        <v>2</v>
      </c>
      <c r="C196">
        <v>0</v>
      </c>
      <c r="D196">
        <v>4875</v>
      </c>
      <c r="F196">
        <v>0</v>
      </c>
      <c r="G196">
        <v>1</v>
      </c>
      <c r="H196">
        <v>598</v>
      </c>
      <c r="I196">
        <v>1123</v>
      </c>
      <c r="K196">
        <v>1</v>
      </c>
      <c r="L196">
        <v>4</v>
      </c>
      <c r="M196">
        <v>35977</v>
      </c>
      <c r="N196">
        <v>9884</v>
      </c>
    </row>
    <row r="197" spans="1:14" x14ac:dyDescent="0.25">
      <c r="A197">
        <v>5</v>
      </c>
      <c r="B197">
        <v>11</v>
      </c>
      <c r="C197">
        <v>108808</v>
      </c>
      <c r="D197">
        <v>2763</v>
      </c>
      <c r="F197">
        <v>0</v>
      </c>
      <c r="G197">
        <v>4</v>
      </c>
      <c r="H197">
        <v>0</v>
      </c>
      <c r="I197">
        <v>405</v>
      </c>
      <c r="K197">
        <v>0</v>
      </c>
      <c r="L197">
        <v>1</v>
      </c>
      <c r="M197">
        <v>0</v>
      </c>
      <c r="N197">
        <v>5</v>
      </c>
    </row>
    <row r="198" spans="1:14" x14ac:dyDescent="0.25">
      <c r="A198">
        <v>70</v>
      </c>
      <c r="B198">
        <v>8</v>
      </c>
      <c r="C198">
        <v>9817572</v>
      </c>
      <c r="D198">
        <v>3085229</v>
      </c>
      <c r="F198">
        <v>2</v>
      </c>
      <c r="G198">
        <v>17</v>
      </c>
      <c r="H198">
        <v>52936</v>
      </c>
      <c r="I198">
        <v>30371</v>
      </c>
      <c r="K198">
        <v>0</v>
      </c>
      <c r="L198">
        <v>2</v>
      </c>
      <c r="M198">
        <v>21971</v>
      </c>
      <c r="N198">
        <v>0</v>
      </c>
    </row>
    <row r="199" spans="1:14" x14ac:dyDescent="0.25">
      <c r="A199">
        <v>0</v>
      </c>
      <c r="B199">
        <v>1</v>
      </c>
      <c r="C199">
        <v>598</v>
      </c>
      <c r="D199">
        <v>1123</v>
      </c>
      <c r="F199">
        <v>1</v>
      </c>
      <c r="G199">
        <v>2</v>
      </c>
      <c r="H199">
        <v>41972</v>
      </c>
      <c r="I199">
        <v>8102</v>
      </c>
      <c r="K199">
        <v>2</v>
      </c>
      <c r="L199">
        <v>4</v>
      </c>
      <c r="M199">
        <v>17682</v>
      </c>
      <c r="N199">
        <v>3499</v>
      </c>
    </row>
    <row r="200" spans="1:14" x14ac:dyDescent="0.25">
      <c r="A200">
        <v>0</v>
      </c>
      <c r="B200">
        <v>4</v>
      </c>
      <c r="C200">
        <v>0</v>
      </c>
      <c r="D200">
        <v>405</v>
      </c>
      <c r="F200">
        <v>0</v>
      </c>
      <c r="G200">
        <v>4</v>
      </c>
      <c r="H200">
        <v>29013</v>
      </c>
      <c r="I200">
        <v>0</v>
      </c>
      <c r="K200">
        <v>0</v>
      </c>
      <c r="L200">
        <v>10</v>
      </c>
      <c r="M200">
        <v>41524</v>
      </c>
      <c r="N200">
        <v>9547</v>
      </c>
    </row>
    <row r="201" spans="1:14" x14ac:dyDescent="0.25">
      <c r="A201">
        <v>2</v>
      </c>
      <c r="B201">
        <v>17</v>
      </c>
      <c r="C201">
        <v>52936</v>
      </c>
      <c r="D201">
        <v>30371</v>
      </c>
      <c r="F201">
        <v>2</v>
      </c>
      <c r="G201">
        <v>4</v>
      </c>
      <c r="H201">
        <v>49143</v>
      </c>
      <c r="I201">
        <v>9845</v>
      </c>
      <c r="K201">
        <v>0</v>
      </c>
      <c r="L201">
        <v>13</v>
      </c>
      <c r="M201">
        <v>0</v>
      </c>
      <c r="N201">
        <v>7447</v>
      </c>
    </row>
    <row r="202" spans="1:14" x14ac:dyDescent="0.25">
      <c r="A202">
        <v>1</v>
      </c>
      <c r="B202">
        <v>2</v>
      </c>
      <c r="C202">
        <v>41972</v>
      </c>
      <c r="D202">
        <v>8102</v>
      </c>
      <c r="F202">
        <v>9</v>
      </c>
      <c r="G202">
        <v>14</v>
      </c>
      <c r="H202">
        <v>25513</v>
      </c>
      <c r="I202">
        <v>86976</v>
      </c>
      <c r="K202">
        <v>1</v>
      </c>
      <c r="L202">
        <v>2</v>
      </c>
      <c r="M202">
        <v>63433</v>
      </c>
      <c r="N202">
        <v>18053</v>
      </c>
    </row>
    <row r="203" spans="1:14" x14ac:dyDescent="0.25">
      <c r="A203">
        <v>0</v>
      </c>
      <c r="B203">
        <v>4</v>
      </c>
      <c r="C203">
        <v>29013</v>
      </c>
      <c r="D203">
        <v>0</v>
      </c>
      <c r="F203">
        <v>10</v>
      </c>
      <c r="G203">
        <v>3</v>
      </c>
      <c r="H203">
        <v>252412</v>
      </c>
      <c r="I203">
        <v>381</v>
      </c>
      <c r="K203">
        <v>1</v>
      </c>
      <c r="L203">
        <v>9</v>
      </c>
      <c r="M203">
        <v>60351</v>
      </c>
      <c r="N203">
        <v>10727</v>
      </c>
    </row>
    <row r="204" spans="1:14" x14ac:dyDescent="0.25">
      <c r="A204">
        <v>2</v>
      </c>
      <c r="B204">
        <v>4</v>
      </c>
      <c r="C204">
        <v>49143</v>
      </c>
      <c r="D204">
        <v>9845</v>
      </c>
      <c r="F204">
        <v>13</v>
      </c>
      <c r="G204">
        <v>59</v>
      </c>
      <c r="H204">
        <v>617967</v>
      </c>
      <c r="I204">
        <v>116694</v>
      </c>
      <c r="K204">
        <v>0</v>
      </c>
      <c r="L204">
        <v>2</v>
      </c>
      <c r="M204">
        <v>9001</v>
      </c>
      <c r="N204">
        <v>1826</v>
      </c>
    </row>
    <row r="205" spans="1:14" x14ac:dyDescent="0.25">
      <c r="A205">
        <v>9</v>
      </c>
      <c r="B205">
        <v>14</v>
      </c>
      <c r="C205">
        <v>25513</v>
      </c>
      <c r="D205">
        <v>86976</v>
      </c>
      <c r="F205">
        <v>0</v>
      </c>
      <c r="G205">
        <v>20</v>
      </c>
      <c r="H205">
        <v>0</v>
      </c>
      <c r="I205">
        <v>32210</v>
      </c>
      <c r="K205">
        <v>11</v>
      </c>
      <c r="L205">
        <v>0</v>
      </c>
      <c r="M205">
        <v>5333012</v>
      </c>
      <c r="N205">
        <v>1645326</v>
      </c>
    </row>
    <row r="206" spans="1:14" x14ac:dyDescent="0.25">
      <c r="A206">
        <v>10</v>
      </c>
      <c r="B206">
        <v>3</v>
      </c>
      <c r="C206">
        <v>252412</v>
      </c>
      <c r="D206">
        <v>381</v>
      </c>
      <c r="F206">
        <v>0</v>
      </c>
      <c r="G206">
        <v>1</v>
      </c>
      <c r="H206">
        <v>7109</v>
      </c>
      <c r="I206">
        <v>738</v>
      </c>
      <c r="K206">
        <v>1</v>
      </c>
      <c r="L206">
        <v>0</v>
      </c>
      <c r="M206">
        <v>2596</v>
      </c>
      <c r="N206">
        <v>0</v>
      </c>
    </row>
    <row r="207" spans="1:14" x14ac:dyDescent="0.25">
      <c r="A207">
        <v>13</v>
      </c>
      <c r="B207">
        <v>59</v>
      </c>
      <c r="C207">
        <v>617967</v>
      </c>
      <c r="D207">
        <v>116694</v>
      </c>
      <c r="F207">
        <v>0</v>
      </c>
      <c r="G207">
        <v>7</v>
      </c>
      <c r="H207">
        <v>17231</v>
      </c>
      <c r="I207">
        <v>7119</v>
      </c>
      <c r="K207">
        <v>0</v>
      </c>
      <c r="L207">
        <v>2</v>
      </c>
      <c r="M207">
        <v>0</v>
      </c>
      <c r="N207">
        <v>5404</v>
      </c>
    </row>
    <row r="208" spans="1:14" x14ac:dyDescent="0.25">
      <c r="A208">
        <v>0</v>
      </c>
      <c r="B208">
        <v>20</v>
      </c>
      <c r="C208">
        <v>0</v>
      </c>
      <c r="D208">
        <v>32210</v>
      </c>
      <c r="F208">
        <v>0</v>
      </c>
      <c r="G208">
        <v>7</v>
      </c>
      <c r="H208">
        <v>0</v>
      </c>
      <c r="I208">
        <v>2058</v>
      </c>
      <c r="K208">
        <v>0</v>
      </c>
      <c r="L208">
        <v>13</v>
      </c>
      <c r="M208">
        <v>0</v>
      </c>
      <c r="N208">
        <v>111</v>
      </c>
    </row>
    <row r="209" spans="1:14" x14ac:dyDescent="0.25">
      <c r="A209">
        <v>0</v>
      </c>
      <c r="B209">
        <v>1</v>
      </c>
      <c r="C209">
        <v>7109</v>
      </c>
      <c r="D209">
        <v>738</v>
      </c>
      <c r="F209">
        <v>0</v>
      </c>
      <c r="G209">
        <v>1</v>
      </c>
      <c r="H209">
        <v>8026</v>
      </c>
      <c r="I209">
        <v>0</v>
      </c>
      <c r="K209">
        <v>0</v>
      </c>
      <c r="L209">
        <v>17</v>
      </c>
      <c r="M209">
        <v>232190</v>
      </c>
      <c r="N209">
        <v>15757</v>
      </c>
    </row>
    <row r="210" spans="1:14" x14ac:dyDescent="0.25">
      <c r="A210">
        <v>0</v>
      </c>
      <c r="B210">
        <v>7</v>
      </c>
      <c r="C210">
        <v>17231</v>
      </c>
      <c r="D210">
        <v>7119</v>
      </c>
      <c r="F210">
        <v>23</v>
      </c>
      <c r="G210">
        <v>0</v>
      </c>
      <c r="H210">
        <v>1585070</v>
      </c>
      <c r="I210">
        <v>0</v>
      </c>
      <c r="K210">
        <v>0</v>
      </c>
      <c r="L210">
        <v>4</v>
      </c>
      <c r="M210">
        <v>20917</v>
      </c>
      <c r="N210">
        <v>4120</v>
      </c>
    </row>
    <row r="211" spans="1:14" x14ac:dyDescent="0.25">
      <c r="A211">
        <v>0</v>
      </c>
      <c r="B211">
        <v>7</v>
      </c>
      <c r="C211">
        <v>0</v>
      </c>
      <c r="D211">
        <v>2058</v>
      </c>
      <c r="F211">
        <v>2</v>
      </c>
      <c r="G211">
        <v>12</v>
      </c>
      <c r="H211">
        <v>207117</v>
      </c>
      <c r="I211">
        <v>34</v>
      </c>
      <c r="K211">
        <v>50</v>
      </c>
      <c r="L211">
        <v>319</v>
      </c>
      <c r="M211">
        <v>1286329</v>
      </c>
      <c r="N211">
        <v>700724</v>
      </c>
    </row>
    <row r="212" spans="1:14" x14ac:dyDescent="0.25">
      <c r="A212">
        <v>2</v>
      </c>
      <c r="B212">
        <v>3</v>
      </c>
      <c r="C212">
        <v>21505</v>
      </c>
      <c r="D212">
        <v>17983</v>
      </c>
      <c r="F212">
        <v>1</v>
      </c>
      <c r="G212">
        <v>3</v>
      </c>
      <c r="H212">
        <v>8164</v>
      </c>
      <c r="I212">
        <v>15103</v>
      </c>
      <c r="K212">
        <v>0</v>
      </c>
      <c r="L212">
        <v>14</v>
      </c>
      <c r="M212">
        <v>0</v>
      </c>
      <c r="N212">
        <v>3030</v>
      </c>
    </row>
    <row r="213" spans="1:14" x14ac:dyDescent="0.25">
      <c r="A213">
        <v>0</v>
      </c>
      <c r="B213">
        <v>1</v>
      </c>
      <c r="C213">
        <v>8026</v>
      </c>
      <c r="D213">
        <v>0</v>
      </c>
      <c r="F213">
        <v>0</v>
      </c>
      <c r="G213">
        <v>1</v>
      </c>
      <c r="H213">
        <v>8684</v>
      </c>
      <c r="I213">
        <v>1</v>
      </c>
      <c r="K213">
        <v>0</v>
      </c>
      <c r="L213">
        <v>95</v>
      </c>
      <c r="M213">
        <v>0</v>
      </c>
      <c r="N213">
        <v>13105</v>
      </c>
    </row>
    <row r="214" spans="1:14" x14ac:dyDescent="0.25">
      <c r="A214">
        <v>23</v>
      </c>
      <c r="B214">
        <v>0</v>
      </c>
      <c r="C214">
        <v>1585070</v>
      </c>
      <c r="D214">
        <v>0</v>
      </c>
      <c r="F214">
        <v>257</v>
      </c>
      <c r="G214">
        <v>415</v>
      </c>
      <c r="H214">
        <v>62789915</v>
      </c>
      <c r="I214">
        <v>18308687</v>
      </c>
      <c r="K214">
        <v>489</v>
      </c>
      <c r="L214">
        <v>852</v>
      </c>
      <c r="M214">
        <v>122694187</v>
      </c>
      <c r="N214">
        <v>15933919</v>
      </c>
    </row>
    <row r="215" spans="1:14" x14ac:dyDescent="0.25">
      <c r="A215">
        <v>2</v>
      </c>
      <c r="B215">
        <v>12</v>
      </c>
      <c r="C215">
        <v>207117</v>
      </c>
      <c r="D215">
        <v>34</v>
      </c>
      <c r="F215">
        <v>1</v>
      </c>
      <c r="G215">
        <v>4</v>
      </c>
      <c r="H215">
        <v>35977</v>
      </c>
      <c r="I215">
        <v>9884</v>
      </c>
      <c r="K215">
        <v>9</v>
      </c>
      <c r="L215">
        <v>30</v>
      </c>
      <c r="M215">
        <v>449231</v>
      </c>
      <c r="N215">
        <v>9537</v>
      </c>
    </row>
    <row r="216" spans="1:14" x14ac:dyDescent="0.25">
      <c r="A216">
        <v>1</v>
      </c>
      <c r="B216">
        <v>3</v>
      </c>
      <c r="C216">
        <v>8164</v>
      </c>
      <c r="D216">
        <v>15103</v>
      </c>
      <c r="F216">
        <v>0</v>
      </c>
      <c r="G216">
        <v>1</v>
      </c>
      <c r="H216">
        <v>0</v>
      </c>
      <c r="I216">
        <v>5</v>
      </c>
      <c r="K216">
        <v>0</v>
      </c>
      <c r="L216">
        <v>1</v>
      </c>
      <c r="M216">
        <v>0</v>
      </c>
      <c r="N216">
        <v>9</v>
      </c>
    </row>
    <row r="217" spans="1:14" x14ac:dyDescent="0.25">
      <c r="A217">
        <v>0</v>
      </c>
      <c r="B217">
        <v>1</v>
      </c>
      <c r="C217">
        <v>8684</v>
      </c>
      <c r="D217">
        <v>1</v>
      </c>
      <c r="F217">
        <v>0</v>
      </c>
      <c r="G217">
        <v>2</v>
      </c>
      <c r="H217">
        <v>21971</v>
      </c>
      <c r="I217">
        <v>0</v>
      </c>
      <c r="K217">
        <v>10</v>
      </c>
      <c r="L217">
        <v>16</v>
      </c>
      <c r="M217">
        <v>797186</v>
      </c>
      <c r="N217">
        <v>89734</v>
      </c>
    </row>
    <row r="218" spans="1:14" x14ac:dyDescent="0.25">
      <c r="A218">
        <v>257</v>
      </c>
      <c r="B218">
        <v>415</v>
      </c>
      <c r="C218">
        <v>62789915</v>
      </c>
      <c r="D218">
        <v>18308687</v>
      </c>
      <c r="F218">
        <v>2</v>
      </c>
      <c r="G218">
        <v>4</v>
      </c>
      <c r="H218">
        <v>17682</v>
      </c>
      <c r="I218">
        <v>3499</v>
      </c>
      <c r="K218">
        <v>4</v>
      </c>
      <c r="L218">
        <v>0</v>
      </c>
      <c r="M218">
        <v>0</v>
      </c>
      <c r="N218">
        <v>5138</v>
      </c>
    </row>
    <row r="219" spans="1:14" x14ac:dyDescent="0.25">
      <c r="A219">
        <v>1</v>
      </c>
      <c r="B219">
        <v>4</v>
      </c>
      <c r="C219">
        <v>35977</v>
      </c>
      <c r="D219">
        <v>9884</v>
      </c>
      <c r="F219">
        <v>0</v>
      </c>
      <c r="G219">
        <v>10</v>
      </c>
      <c r="H219">
        <v>41524</v>
      </c>
      <c r="I219">
        <v>9547</v>
      </c>
      <c r="K219">
        <v>3</v>
      </c>
      <c r="L219">
        <v>10</v>
      </c>
      <c r="M219">
        <v>215780</v>
      </c>
      <c r="N219">
        <v>5289</v>
      </c>
    </row>
    <row r="220" spans="1:14" x14ac:dyDescent="0.25">
      <c r="A220">
        <v>0</v>
      </c>
      <c r="B220">
        <v>1</v>
      </c>
      <c r="C220">
        <v>0</v>
      </c>
      <c r="D220">
        <v>5</v>
      </c>
      <c r="F220">
        <v>0</v>
      </c>
      <c r="G220">
        <v>13</v>
      </c>
      <c r="H220">
        <v>0</v>
      </c>
      <c r="I220">
        <v>7447</v>
      </c>
      <c r="K220">
        <v>2</v>
      </c>
      <c r="L220">
        <v>0</v>
      </c>
      <c r="M220">
        <v>112821</v>
      </c>
      <c r="N220">
        <v>61257</v>
      </c>
    </row>
    <row r="221" spans="1:14" x14ac:dyDescent="0.25">
      <c r="A221">
        <v>0</v>
      </c>
      <c r="B221">
        <v>2</v>
      </c>
      <c r="C221">
        <v>21971</v>
      </c>
      <c r="D221">
        <v>0</v>
      </c>
      <c r="F221">
        <v>1</v>
      </c>
      <c r="G221">
        <v>2</v>
      </c>
      <c r="H221">
        <v>63433</v>
      </c>
      <c r="I221">
        <v>18053</v>
      </c>
      <c r="K221">
        <v>137</v>
      </c>
      <c r="L221">
        <v>440</v>
      </c>
      <c r="M221">
        <v>13657335</v>
      </c>
      <c r="N221">
        <v>3221259</v>
      </c>
    </row>
    <row r="222" spans="1:14" x14ac:dyDescent="0.25">
      <c r="A222">
        <v>2</v>
      </c>
      <c r="B222">
        <v>4</v>
      </c>
      <c r="C222">
        <v>17682</v>
      </c>
      <c r="D222">
        <v>3499</v>
      </c>
      <c r="F222">
        <v>147</v>
      </c>
      <c r="G222">
        <v>125</v>
      </c>
      <c r="H222">
        <v>21510113</v>
      </c>
      <c r="I222">
        <v>3905038</v>
      </c>
      <c r="K222">
        <v>1</v>
      </c>
      <c r="L222">
        <v>0</v>
      </c>
      <c r="M222">
        <v>0</v>
      </c>
      <c r="N222">
        <v>965</v>
      </c>
    </row>
    <row r="223" spans="1:14" x14ac:dyDescent="0.25">
      <c r="A223">
        <v>0</v>
      </c>
      <c r="B223">
        <v>10</v>
      </c>
      <c r="C223">
        <v>41524</v>
      </c>
      <c r="D223">
        <v>9547</v>
      </c>
      <c r="F223">
        <v>1</v>
      </c>
      <c r="G223">
        <v>9</v>
      </c>
      <c r="H223">
        <v>60351</v>
      </c>
      <c r="I223">
        <v>10727</v>
      </c>
      <c r="K223">
        <v>1170</v>
      </c>
      <c r="L223">
        <v>847</v>
      </c>
      <c r="M223">
        <v>215594964</v>
      </c>
      <c r="N223">
        <v>75846044</v>
      </c>
    </row>
    <row r="224" spans="1:14" x14ac:dyDescent="0.25">
      <c r="A224">
        <v>0</v>
      </c>
      <c r="B224">
        <v>13</v>
      </c>
      <c r="C224">
        <v>0</v>
      </c>
      <c r="D224">
        <v>7447</v>
      </c>
      <c r="F224">
        <v>0</v>
      </c>
      <c r="G224">
        <v>2</v>
      </c>
      <c r="H224">
        <v>9001</v>
      </c>
      <c r="I224">
        <v>1826</v>
      </c>
      <c r="K224">
        <v>0</v>
      </c>
      <c r="L224">
        <v>23</v>
      </c>
      <c r="M224">
        <v>0</v>
      </c>
      <c r="N224">
        <v>18280</v>
      </c>
    </row>
    <row r="225" spans="1:14" x14ac:dyDescent="0.25">
      <c r="A225">
        <v>1</v>
      </c>
      <c r="B225">
        <v>2</v>
      </c>
      <c r="C225">
        <v>63433</v>
      </c>
      <c r="D225">
        <v>18053</v>
      </c>
      <c r="F225">
        <v>30</v>
      </c>
      <c r="G225">
        <v>5</v>
      </c>
      <c r="H225">
        <v>4919438</v>
      </c>
      <c r="I225">
        <v>3646806</v>
      </c>
      <c r="K225">
        <v>3</v>
      </c>
      <c r="L225">
        <v>1</v>
      </c>
      <c r="M225">
        <v>154126</v>
      </c>
      <c r="N225">
        <v>34143</v>
      </c>
    </row>
    <row r="226" spans="1:14" x14ac:dyDescent="0.25">
      <c r="A226">
        <v>147</v>
      </c>
      <c r="B226">
        <v>125</v>
      </c>
      <c r="C226">
        <v>21510113</v>
      </c>
      <c r="D226">
        <v>3905038</v>
      </c>
      <c r="F226">
        <v>11</v>
      </c>
      <c r="G226">
        <v>0</v>
      </c>
      <c r="H226">
        <v>5333012</v>
      </c>
      <c r="I226">
        <v>1645326</v>
      </c>
      <c r="K226">
        <v>0</v>
      </c>
      <c r="L226">
        <v>1</v>
      </c>
      <c r="M226">
        <v>0</v>
      </c>
      <c r="N226">
        <v>334</v>
      </c>
    </row>
    <row r="227" spans="1:14" x14ac:dyDescent="0.25">
      <c r="A227">
        <v>1</v>
      </c>
      <c r="B227">
        <v>9</v>
      </c>
      <c r="C227">
        <v>60351</v>
      </c>
      <c r="D227">
        <v>10727</v>
      </c>
      <c r="F227">
        <v>1</v>
      </c>
      <c r="G227">
        <v>0</v>
      </c>
      <c r="H227">
        <v>2596</v>
      </c>
      <c r="I227">
        <v>0</v>
      </c>
      <c r="K227">
        <v>1</v>
      </c>
      <c r="L227">
        <v>0</v>
      </c>
      <c r="M227">
        <v>42948</v>
      </c>
      <c r="N227">
        <v>0</v>
      </c>
    </row>
    <row r="228" spans="1:14" x14ac:dyDescent="0.25">
      <c r="A228">
        <v>0</v>
      </c>
      <c r="B228">
        <v>2</v>
      </c>
      <c r="C228">
        <v>9001</v>
      </c>
      <c r="D228">
        <v>1826</v>
      </c>
      <c r="F228">
        <v>0</v>
      </c>
      <c r="G228">
        <v>2</v>
      </c>
      <c r="H228">
        <v>0</v>
      </c>
      <c r="I228">
        <v>5404</v>
      </c>
      <c r="K228">
        <v>0</v>
      </c>
      <c r="L228">
        <v>1</v>
      </c>
      <c r="M228">
        <v>0</v>
      </c>
      <c r="N228">
        <v>17</v>
      </c>
    </row>
    <row r="229" spans="1:14" x14ac:dyDescent="0.25">
      <c r="A229">
        <v>30</v>
      </c>
      <c r="B229">
        <v>5</v>
      </c>
      <c r="C229">
        <v>4919438</v>
      </c>
      <c r="D229">
        <v>3646806</v>
      </c>
      <c r="F229">
        <v>0</v>
      </c>
      <c r="G229">
        <v>13</v>
      </c>
      <c r="H229">
        <v>0</v>
      </c>
      <c r="I229">
        <v>111</v>
      </c>
      <c r="K229">
        <v>0</v>
      </c>
      <c r="L229">
        <v>1</v>
      </c>
      <c r="M229">
        <v>79</v>
      </c>
      <c r="N229">
        <v>123</v>
      </c>
    </row>
    <row r="230" spans="1:14" x14ac:dyDescent="0.25">
      <c r="A230">
        <v>11</v>
      </c>
      <c r="B230">
        <v>0</v>
      </c>
      <c r="C230">
        <v>5333012</v>
      </c>
      <c r="D230">
        <v>1645326</v>
      </c>
      <c r="F230">
        <v>0</v>
      </c>
      <c r="G230">
        <v>17</v>
      </c>
      <c r="H230">
        <v>232190</v>
      </c>
      <c r="I230">
        <v>15757</v>
      </c>
      <c r="K230">
        <v>0</v>
      </c>
      <c r="L230">
        <v>67</v>
      </c>
      <c r="M230">
        <v>122351</v>
      </c>
      <c r="N230">
        <v>49210</v>
      </c>
    </row>
    <row r="231" spans="1:14" x14ac:dyDescent="0.25">
      <c r="A231">
        <v>1</v>
      </c>
      <c r="B231">
        <v>0</v>
      </c>
      <c r="C231">
        <v>2596</v>
      </c>
      <c r="D231">
        <v>0</v>
      </c>
      <c r="F231">
        <v>0</v>
      </c>
      <c r="G231">
        <v>4</v>
      </c>
      <c r="H231">
        <v>20917</v>
      </c>
      <c r="I231">
        <v>4120</v>
      </c>
      <c r="K231">
        <v>39</v>
      </c>
      <c r="L231">
        <v>406</v>
      </c>
      <c r="M231">
        <v>4755676</v>
      </c>
      <c r="N231">
        <v>17753</v>
      </c>
    </row>
    <row r="232" spans="1:14" x14ac:dyDescent="0.25">
      <c r="A232">
        <v>0</v>
      </c>
      <c r="B232">
        <v>2</v>
      </c>
      <c r="C232">
        <v>0</v>
      </c>
      <c r="D232">
        <v>5404</v>
      </c>
      <c r="F232">
        <v>50</v>
      </c>
      <c r="G232">
        <v>319</v>
      </c>
      <c r="H232">
        <v>1286329</v>
      </c>
      <c r="I232">
        <v>700724</v>
      </c>
      <c r="K232">
        <v>0</v>
      </c>
      <c r="L232">
        <v>1</v>
      </c>
      <c r="M232">
        <v>0</v>
      </c>
      <c r="N232">
        <v>507</v>
      </c>
    </row>
    <row r="233" spans="1:14" x14ac:dyDescent="0.25">
      <c r="A233">
        <v>0</v>
      </c>
      <c r="B233">
        <v>13</v>
      </c>
      <c r="C233">
        <v>0</v>
      </c>
      <c r="D233">
        <v>111</v>
      </c>
      <c r="F233">
        <v>0</v>
      </c>
      <c r="G233">
        <v>14</v>
      </c>
      <c r="H233">
        <v>0</v>
      </c>
      <c r="I233">
        <v>3030</v>
      </c>
      <c r="K233">
        <v>6</v>
      </c>
      <c r="L233">
        <v>17</v>
      </c>
      <c r="M233">
        <v>290431</v>
      </c>
      <c r="N233">
        <v>819</v>
      </c>
    </row>
    <row r="234" spans="1:14" x14ac:dyDescent="0.25">
      <c r="A234">
        <v>0</v>
      </c>
      <c r="B234">
        <v>17</v>
      </c>
      <c r="C234">
        <v>232190</v>
      </c>
      <c r="D234">
        <v>15757</v>
      </c>
      <c r="F234">
        <v>0</v>
      </c>
      <c r="G234">
        <v>95</v>
      </c>
      <c r="H234">
        <v>0</v>
      </c>
      <c r="I234">
        <v>13105</v>
      </c>
      <c r="K234">
        <v>0</v>
      </c>
      <c r="L234">
        <v>1</v>
      </c>
      <c r="M234">
        <v>11495</v>
      </c>
      <c r="N234">
        <v>2170</v>
      </c>
    </row>
    <row r="235" spans="1:14" x14ac:dyDescent="0.25">
      <c r="A235">
        <v>0</v>
      </c>
      <c r="B235">
        <v>4</v>
      </c>
      <c r="C235">
        <v>20917</v>
      </c>
      <c r="D235">
        <v>4120</v>
      </c>
      <c r="F235">
        <v>489</v>
      </c>
      <c r="G235">
        <v>852</v>
      </c>
      <c r="H235">
        <v>122694187</v>
      </c>
      <c r="I235">
        <v>15933919</v>
      </c>
      <c r="K235">
        <v>1</v>
      </c>
      <c r="L235">
        <v>11</v>
      </c>
      <c r="M235">
        <v>24798</v>
      </c>
      <c r="N235">
        <v>12452</v>
      </c>
    </row>
    <row r="236" spans="1:14" x14ac:dyDescent="0.25">
      <c r="A236">
        <v>50</v>
      </c>
      <c r="B236">
        <v>319</v>
      </c>
      <c r="C236">
        <v>1286329</v>
      </c>
      <c r="D236">
        <v>700724</v>
      </c>
      <c r="F236">
        <v>9</v>
      </c>
      <c r="G236">
        <v>30</v>
      </c>
      <c r="H236">
        <v>449231</v>
      </c>
      <c r="I236">
        <v>9537</v>
      </c>
      <c r="K236">
        <v>2</v>
      </c>
      <c r="L236">
        <v>19</v>
      </c>
      <c r="M236">
        <v>0</v>
      </c>
      <c r="N236">
        <v>3665</v>
      </c>
    </row>
    <row r="237" spans="1:14" x14ac:dyDescent="0.25">
      <c r="A237">
        <v>0</v>
      </c>
      <c r="B237">
        <v>14</v>
      </c>
      <c r="C237">
        <v>0</v>
      </c>
      <c r="D237">
        <v>3030</v>
      </c>
      <c r="F237">
        <v>0</v>
      </c>
      <c r="G237">
        <v>1</v>
      </c>
      <c r="H237">
        <v>0</v>
      </c>
      <c r="I237">
        <v>9</v>
      </c>
      <c r="K237">
        <v>0</v>
      </c>
      <c r="L237">
        <v>4</v>
      </c>
      <c r="M237">
        <v>19595</v>
      </c>
      <c r="N237">
        <v>1656</v>
      </c>
    </row>
    <row r="238" spans="1:14" x14ac:dyDescent="0.25">
      <c r="A238">
        <v>0</v>
      </c>
      <c r="B238">
        <v>80</v>
      </c>
      <c r="C238">
        <v>149421</v>
      </c>
      <c r="D238">
        <v>32116</v>
      </c>
      <c r="F238">
        <v>126</v>
      </c>
      <c r="G238">
        <v>18</v>
      </c>
      <c r="H238">
        <v>57778018</v>
      </c>
      <c r="I238">
        <v>5336279</v>
      </c>
      <c r="K238">
        <v>510</v>
      </c>
      <c r="L238">
        <v>657</v>
      </c>
      <c r="M238">
        <v>46005402</v>
      </c>
      <c r="N238">
        <v>1192550</v>
      </c>
    </row>
    <row r="239" spans="1:14" x14ac:dyDescent="0.25">
      <c r="A239">
        <v>0</v>
      </c>
      <c r="B239">
        <v>95</v>
      </c>
      <c r="C239">
        <v>0</v>
      </c>
      <c r="D239">
        <v>13105</v>
      </c>
      <c r="F239">
        <v>10</v>
      </c>
      <c r="G239">
        <v>16</v>
      </c>
      <c r="H239">
        <v>797186</v>
      </c>
      <c r="I239">
        <v>89734</v>
      </c>
      <c r="K239">
        <v>4</v>
      </c>
      <c r="L239">
        <v>38</v>
      </c>
      <c r="M239">
        <v>224264</v>
      </c>
      <c r="N239">
        <v>2180</v>
      </c>
    </row>
    <row r="240" spans="1:14" x14ac:dyDescent="0.25">
      <c r="A240">
        <v>489</v>
      </c>
      <c r="B240">
        <v>852</v>
      </c>
      <c r="C240">
        <v>122694187</v>
      </c>
      <c r="D240">
        <v>15933919</v>
      </c>
      <c r="F240">
        <v>1</v>
      </c>
      <c r="G240">
        <v>0</v>
      </c>
      <c r="H240">
        <v>136364</v>
      </c>
      <c r="I240">
        <v>30959</v>
      </c>
      <c r="K240">
        <v>16</v>
      </c>
      <c r="L240">
        <v>41</v>
      </c>
      <c r="M240">
        <v>474444</v>
      </c>
      <c r="N240">
        <v>26442</v>
      </c>
    </row>
    <row r="241" spans="1:14" x14ac:dyDescent="0.25">
      <c r="A241">
        <v>9</v>
      </c>
      <c r="B241">
        <v>30</v>
      </c>
      <c r="C241">
        <v>449231</v>
      </c>
      <c r="D241">
        <v>9537</v>
      </c>
      <c r="F241">
        <v>4</v>
      </c>
      <c r="G241">
        <v>0</v>
      </c>
      <c r="H241">
        <v>0</v>
      </c>
      <c r="I241">
        <v>5138</v>
      </c>
      <c r="K241">
        <v>11</v>
      </c>
      <c r="L241">
        <v>13</v>
      </c>
      <c r="M241">
        <v>212544</v>
      </c>
      <c r="N241">
        <v>306749</v>
      </c>
    </row>
    <row r="242" spans="1:14" x14ac:dyDescent="0.25">
      <c r="A242">
        <v>0</v>
      </c>
      <c r="B242">
        <v>1</v>
      </c>
      <c r="C242">
        <v>0</v>
      </c>
      <c r="D242">
        <v>9</v>
      </c>
      <c r="F242">
        <v>3</v>
      </c>
      <c r="G242">
        <v>10</v>
      </c>
      <c r="H242">
        <v>215780</v>
      </c>
      <c r="I242">
        <v>5289</v>
      </c>
      <c r="K242">
        <v>16</v>
      </c>
      <c r="L242">
        <v>0</v>
      </c>
      <c r="M242">
        <v>48379</v>
      </c>
      <c r="N242">
        <v>2277</v>
      </c>
    </row>
    <row r="243" spans="1:14" x14ac:dyDescent="0.25">
      <c r="A243">
        <v>126</v>
      </c>
      <c r="B243">
        <v>18</v>
      </c>
      <c r="C243">
        <v>57778018</v>
      </c>
      <c r="D243">
        <v>5336279</v>
      </c>
      <c r="F243">
        <v>2</v>
      </c>
      <c r="G243">
        <v>0</v>
      </c>
      <c r="H243">
        <v>112821</v>
      </c>
      <c r="I243">
        <v>61257</v>
      </c>
      <c r="K243">
        <v>0</v>
      </c>
      <c r="L243">
        <v>1</v>
      </c>
      <c r="M243">
        <v>18406</v>
      </c>
      <c r="N243">
        <v>0</v>
      </c>
    </row>
    <row r="244" spans="1:14" x14ac:dyDescent="0.25">
      <c r="A244">
        <v>10</v>
      </c>
      <c r="B244">
        <v>16</v>
      </c>
      <c r="C244">
        <v>797186</v>
      </c>
      <c r="D244">
        <v>89734</v>
      </c>
      <c r="F244">
        <v>137</v>
      </c>
      <c r="G244">
        <v>440</v>
      </c>
      <c r="H244">
        <v>13657335</v>
      </c>
      <c r="I244">
        <v>3221259</v>
      </c>
      <c r="K244">
        <v>0</v>
      </c>
      <c r="L244">
        <v>34</v>
      </c>
      <c r="M244">
        <v>4125</v>
      </c>
      <c r="N244">
        <v>17890</v>
      </c>
    </row>
    <row r="245" spans="1:14" x14ac:dyDescent="0.25">
      <c r="A245">
        <v>1</v>
      </c>
      <c r="B245">
        <v>0</v>
      </c>
      <c r="C245">
        <v>136364</v>
      </c>
      <c r="D245">
        <v>30959</v>
      </c>
      <c r="F245">
        <v>1</v>
      </c>
      <c r="G245">
        <v>0</v>
      </c>
      <c r="H245">
        <v>0</v>
      </c>
      <c r="I245">
        <v>965</v>
      </c>
      <c r="K245">
        <v>0</v>
      </c>
      <c r="L245">
        <v>2</v>
      </c>
      <c r="M245">
        <v>0</v>
      </c>
      <c r="N245">
        <v>3700</v>
      </c>
    </row>
    <row r="246" spans="1:14" x14ac:dyDescent="0.25">
      <c r="A246">
        <v>4</v>
      </c>
      <c r="B246">
        <v>0</v>
      </c>
      <c r="C246">
        <v>0</v>
      </c>
      <c r="D246">
        <v>5138</v>
      </c>
      <c r="F246">
        <v>1170</v>
      </c>
      <c r="G246">
        <v>847</v>
      </c>
      <c r="H246">
        <v>215594964</v>
      </c>
      <c r="I246">
        <v>75846044</v>
      </c>
      <c r="K246">
        <v>7</v>
      </c>
      <c r="L246">
        <v>9</v>
      </c>
      <c r="M246">
        <v>99756</v>
      </c>
      <c r="N246">
        <v>63050</v>
      </c>
    </row>
    <row r="247" spans="1:14" x14ac:dyDescent="0.25">
      <c r="A247">
        <v>3</v>
      </c>
      <c r="B247">
        <v>10</v>
      </c>
      <c r="C247">
        <v>215780</v>
      </c>
      <c r="D247">
        <v>5289</v>
      </c>
      <c r="F247">
        <v>0</v>
      </c>
      <c r="G247">
        <v>23</v>
      </c>
      <c r="H247">
        <v>0</v>
      </c>
      <c r="I247">
        <v>18280</v>
      </c>
      <c r="K247">
        <v>0</v>
      </c>
      <c r="L247">
        <v>1</v>
      </c>
      <c r="M247">
        <v>460</v>
      </c>
      <c r="N247">
        <v>0</v>
      </c>
    </row>
    <row r="248" spans="1:14" x14ac:dyDescent="0.25">
      <c r="A248">
        <v>2</v>
      </c>
      <c r="B248">
        <v>0</v>
      </c>
      <c r="C248">
        <v>112821</v>
      </c>
      <c r="D248">
        <v>61257</v>
      </c>
      <c r="F248">
        <v>3</v>
      </c>
      <c r="G248">
        <v>1</v>
      </c>
      <c r="H248">
        <v>154126</v>
      </c>
      <c r="I248">
        <v>34143</v>
      </c>
      <c r="K248">
        <v>2</v>
      </c>
      <c r="L248">
        <v>0</v>
      </c>
      <c r="M248">
        <v>14145</v>
      </c>
      <c r="N248">
        <v>4971</v>
      </c>
    </row>
    <row r="249" spans="1:14" x14ac:dyDescent="0.25">
      <c r="A249">
        <v>137</v>
      </c>
      <c r="B249">
        <v>440</v>
      </c>
      <c r="C249">
        <v>13657335</v>
      </c>
      <c r="D249">
        <v>3221259</v>
      </c>
      <c r="F249">
        <v>0</v>
      </c>
      <c r="G249">
        <v>1</v>
      </c>
      <c r="H249">
        <v>0</v>
      </c>
      <c r="I249">
        <v>334</v>
      </c>
      <c r="K249">
        <v>0</v>
      </c>
      <c r="L249">
        <v>8</v>
      </c>
      <c r="M249">
        <v>0</v>
      </c>
      <c r="N249">
        <v>2200</v>
      </c>
    </row>
    <row r="250" spans="1:14" x14ac:dyDescent="0.25">
      <c r="A250">
        <v>1</v>
      </c>
      <c r="B250">
        <v>0</v>
      </c>
      <c r="C250">
        <v>0</v>
      </c>
      <c r="D250">
        <v>965</v>
      </c>
      <c r="F250">
        <v>1</v>
      </c>
      <c r="G250">
        <v>0</v>
      </c>
      <c r="H250">
        <v>42948</v>
      </c>
      <c r="I250">
        <v>0</v>
      </c>
      <c r="K250">
        <v>0</v>
      </c>
      <c r="L250">
        <v>2</v>
      </c>
      <c r="M250">
        <v>0</v>
      </c>
      <c r="N250">
        <v>57</v>
      </c>
    </row>
    <row r="251" spans="1:14" x14ac:dyDescent="0.25">
      <c r="A251">
        <v>1170</v>
      </c>
      <c r="B251">
        <v>847</v>
      </c>
      <c r="C251">
        <v>215594964</v>
      </c>
      <c r="D251">
        <v>75846044</v>
      </c>
      <c r="F251">
        <v>0</v>
      </c>
      <c r="G251">
        <v>1</v>
      </c>
      <c r="H251">
        <v>0</v>
      </c>
      <c r="I251">
        <v>17</v>
      </c>
      <c r="K251">
        <v>12</v>
      </c>
      <c r="L251">
        <v>75</v>
      </c>
      <c r="M251">
        <v>609704</v>
      </c>
      <c r="N251">
        <v>65548</v>
      </c>
    </row>
    <row r="252" spans="1:14" x14ac:dyDescent="0.25">
      <c r="A252">
        <v>0</v>
      </c>
      <c r="B252">
        <v>23</v>
      </c>
      <c r="C252">
        <v>0</v>
      </c>
      <c r="D252">
        <v>18280</v>
      </c>
      <c r="F252">
        <v>0</v>
      </c>
      <c r="G252">
        <v>1</v>
      </c>
      <c r="H252">
        <v>79</v>
      </c>
      <c r="I252">
        <v>123</v>
      </c>
      <c r="K252">
        <v>3</v>
      </c>
      <c r="L252">
        <v>27</v>
      </c>
      <c r="M252">
        <v>344921</v>
      </c>
      <c r="N252">
        <v>408</v>
      </c>
    </row>
    <row r="253" spans="1:14" x14ac:dyDescent="0.25">
      <c r="A253">
        <v>3</v>
      </c>
      <c r="B253">
        <v>1</v>
      </c>
      <c r="C253">
        <v>154126</v>
      </c>
      <c r="D253">
        <v>34143</v>
      </c>
      <c r="F253">
        <v>0</v>
      </c>
      <c r="G253">
        <v>67</v>
      </c>
      <c r="H253">
        <v>122351</v>
      </c>
      <c r="I253">
        <v>49210</v>
      </c>
      <c r="K253">
        <v>0</v>
      </c>
      <c r="L253">
        <v>5</v>
      </c>
      <c r="M253">
        <v>15368</v>
      </c>
      <c r="N253">
        <v>4544</v>
      </c>
    </row>
    <row r="254" spans="1:14" x14ac:dyDescent="0.25">
      <c r="A254">
        <v>0</v>
      </c>
      <c r="B254">
        <v>1</v>
      </c>
      <c r="C254">
        <v>0</v>
      </c>
      <c r="D254">
        <v>334</v>
      </c>
      <c r="F254">
        <v>39</v>
      </c>
      <c r="G254">
        <v>406</v>
      </c>
      <c r="H254">
        <v>4755676</v>
      </c>
      <c r="I254">
        <v>17753</v>
      </c>
      <c r="K254">
        <v>0</v>
      </c>
      <c r="L254">
        <v>1</v>
      </c>
      <c r="M254">
        <v>10154</v>
      </c>
      <c r="N254">
        <v>0</v>
      </c>
    </row>
    <row r="255" spans="1:14" x14ac:dyDescent="0.25">
      <c r="A255">
        <v>1</v>
      </c>
      <c r="B255">
        <v>0</v>
      </c>
      <c r="C255">
        <v>42948</v>
      </c>
      <c r="D255">
        <v>0</v>
      </c>
      <c r="F255">
        <v>4</v>
      </c>
      <c r="G255">
        <v>0</v>
      </c>
      <c r="H255">
        <v>1072563</v>
      </c>
      <c r="I255">
        <v>233492</v>
      </c>
      <c r="K255">
        <v>2</v>
      </c>
      <c r="L255">
        <v>25</v>
      </c>
      <c r="M255">
        <v>18673</v>
      </c>
      <c r="N255">
        <v>12780</v>
      </c>
    </row>
    <row r="256" spans="1:14" x14ac:dyDescent="0.25">
      <c r="A256">
        <v>0</v>
      </c>
      <c r="B256">
        <v>1</v>
      </c>
      <c r="C256">
        <v>0</v>
      </c>
      <c r="D256">
        <v>17</v>
      </c>
      <c r="F256">
        <v>0</v>
      </c>
      <c r="G256">
        <v>1</v>
      </c>
      <c r="H256">
        <v>0</v>
      </c>
      <c r="I256">
        <v>507</v>
      </c>
      <c r="K256">
        <v>0</v>
      </c>
      <c r="L256">
        <v>1</v>
      </c>
      <c r="M256">
        <v>3309</v>
      </c>
      <c r="N256">
        <v>287</v>
      </c>
    </row>
    <row r="257" spans="1:14" x14ac:dyDescent="0.25">
      <c r="A257">
        <v>0</v>
      </c>
      <c r="B257">
        <v>1</v>
      </c>
      <c r="C257">
        <v>79</v>
      </c>
      <c r="D257">
        <v>123</v>
      </c>
      <c r="F257">
        <v>6</v>
      </c>
      <c r="G257">
        <v>17</v>
      </c>
      <c r="H257">
        <v>290431</v>
      </c>
      <c r="I257">
        <v>819</v>
      </c>
      <c r="K257">
        <v>10</v>
      </c>
      <c r="L257">
        <v>288</v>
      </c>
      <c r="M257">
        <v>133240</v>
      </c>
      <c r="N257">
        <v>21743</v>
      </c>
    </row>
    <row r="258" spans="1:14" x14ac:dyDescent="0.25">
      <c r="A258">
        <v>0</v>
      </c>
      <c r="B258">
        <v>67</v>
      </c>
      <c r="C258">
        <v>122351</v>
      </c>
      <c r="D258">
        <v>49210</v>
      </c>
      <c r="F258">
        <v>0</v>
      </c>
      <c r="G258">
        <v>1</v>
      </c>
      <c r="H258">
        <v>11495</v>
      </c>
      <c r="I258">
        <v>2170</v>
      </c>
      <c r="K258">
        <v>1</v>
      </c>
      <c r="L258">
        <v>0</v>
      </c>
      <c r="M258">
        <v>638</v>
      </c>
      <c r="N258">
        <v>0</v>
      </c>
    </row>
    <row r="259" spans="1:14" x14ac:dyDescent="0.25">
      <c r="A259">
        <v>39</v>
      </c>
      <c r="B259">
        <v>406</v>
      </c>
      <c r="C259">
        <v>4755676</v>
      </c>
      <c r="D259">
        <v>17753</v>
      </c>
      <c r="F259">
        <v>1</v>
      </c>
      <c r="G259">
        <v>11</v>
      </c>
      <c r="H259">
        <v>24798</v>
      </c>
      <c r="I259">
        <v>12452</v>
      </c>
      <c r="K259">
        <v>2</v>
      </c>
      <c r="L259">
        <v>3</v>
      </c>
      <c r="M259">
        <v>41694</v>
      </c>
      <c r="N259">
        <v>13539</v>
      </c>
    </row>
    <row r="260" spans="1:14" x14ac:dyDescent="0.25">
      <c r="A260">
        <v>4</v>
      </c>
      <c r="B260">
        <v>0</v>
      </c>
      <c r="C260">
        <v>1072563</v>
      </c>
      <c r="D260">
        <v>233492</v>
      </c>
      <c r="F260">
        <v>2</v>
      </c>
      <c r="G260">
        <v>19</v>
      </c>
      <c r="H260">
        <v>0</v>
      </c>
      <c r="I260">
        <v>3665</v>
      </c>
      <c r="K260">
        <v>10</v>
      </c>
      <c r="L260">
        <v>49</v>
      </c>
      <c r="M260">
        <v>1005769</v>
      </c>
      <c r="N260">
        <v>12799</v>
      </c>
    </row>
    <row r="261" spans="1:14" x14ac:dyDescent="0.25">
      <c r="A261">
        <v>48</v>
      </c>
      <c r="B261">
        <v>119</v>
      </c>
      <c r="C261">
        <v>3790148</v>
      </c>
      <c r="D261">
        <v>0</v>
      </c>
      <c r="F261">
        <v>0</v>
      </c>
      <c r="G261">
        <v>4</v>
      </c>
      <c r="H261">
        <v>19595</v>
      </c>
      <c r="I261">
        <v>1656</v>
      </c>
      <c r="K261">
        <v>0</v>
      </c>
      <c r="L261">
        <v>4</v>
      </c>
      <c r="M261">
        <v>26080</v>
      </c>
      <c r="N261">
        <v>1959</v>
      </c>
    </row>
    <row r="262" spans="1:14" x14ac:dyDescent="0.25">
      <c r="A262">
        <v>0</v>
      </c>
      <c r="B262">
        <v>1</v>
      </c>
      <c r="C262">
        <v>0</v>
      </c>
      <c r="D262">
        <v>507</v>
      </c>
      <c r="F262">
        <v>510</v>
      </c>
      <c r="G262">
        <v>657</v>
      </c>
      <c r="H262">
        <v>46005402</v>
      </c>
      <c r="I262">
        <v>1192550</v>
      </c>
      <c r="K262">
        <v>0</v>
      </c>
      <c r="L262">
        <v>34</v>
      </c>
      <c r="M262">
        <v>0</v>
      </c>
      <c r="N262">
        <v>2668</v>
      </c>
    </row>
    <row r="263" spans="1:14" x14ac:dyDescent="0.25">
      <c r="A263">
        <v>6</v>
      </c>
      <c r="B263">
        <v>17</v>
      </c>
      <c r="C263">
        <v>290431</v>
      </c>
      <c r="D263">
        <v>819</v>
      </c>
      <c r="F263">
        <v>4</v>
      </c>
      <c r="G263">
        <v>38</v>
      </c>
      <c r="H263">
        <v>224264</v>
      </c>
      <c r="I263">
        <v>2180</v>
      </c>
      <c r="K263">
        <v>1</v>
      </c>
      <c r="L263">
        <v>0</v>
      </c>
      <c r="M263">
        <v>156328</v>
      </c>
      <c r="N263">
        <v>103680</v>
      </c>
    </row>
    <row r="264" spans="1:14" x14ac:dyDescent="0.25">
      <c r="A264">
        <v>0</v>
      </c>
      <c r="B264">
        <v>1</v>
      </c>
      <c r="C264">
        <v>11495</v>
      </c>
      <c r="D264">
        <v>2170</v>
      </c>
      <c r="F264">
        <v>16</v>
      </c>
      <c r="G264">
        <v>41</v>
      </c>
      <c r="H264">
        <v>474444</v>
      </c>
      <c r="I264">
        <v>26442</v>
      </c>
      <c r="K264">
        <v>2</v>
      </c>
      <c r="L264">
        <v>27</v>
      </c>
      <c r="M264">
        <v>477165</v>
      </c>
      <c r="N264">
        <v>1426</v>
      </c>
    </row>
    <row r="265" spans="1:14" x14ac:dyDescent="0.25">
      <c r="A265">
        <v>1</v>
      </c>
      <c r="B265">
        <v>11</v>
      </c>
      <c r="C265">
        <v>24798</v>
      </c>
      <c r="D265">
        <v>12452</v>
      </c>
      <c r="F265">
        <v>11</v>
      </c>
      <c r="G265">
        <v>13</v>
      </c>
      <c r="H265">
        <v>212544</v>
      </c>
      <c r="I265">
        <v>306749</v>
      </c>
      <c r="K265">
        <v>2</v>
      </c>
      <c r="L265">
        <v>143</v>
      </c>
      <c r="M265">
        <v>280481</v>
      </c>
      <c r="N265">
        <v>0</v>
      </c>
    </row>
    <row r="266" spans="1:14" x14ac:dyDescent="0.25">
      <c r="A266">
        <v>2</v>
      </c>
      <c r="B266">
        <v>19</v>
      </c>
      <c r="C266">
        <v>0</v>
      </c>
      <c r="D266">
        <v>3665</v>
      </c>
      <c r="F266">
        <v>16</v>
      </c>
      <c r="G266">
        <v>0</v>
      </c>
      <c r="H266">
        <v>48379</v>
      </c>
      <c r="I266">
        <v>2277</v>
      </c>
      <c r="K266">
        <v>16</v>
      </c>
      <c r="L266">
        <v>23</v>
      </c>
      <c r="M266">
        <v>929686</v>
      </c>
      <c r="N266">
        <v>19109</v>
      </c>
    </row>
    <row r="267" spans="1:14" x14ac:dyDescent="0.25">
      <c r="A267">
        <v>0</v>
      </c>
      <c r="B267">
        <v>4</v>
      </c>
      <c r="C267">
        <v>19595</v>
      </c>
      <c r="D267">
        <v>1656</v>
      </c>
      <c r="F267">
        <v>0</v>
      </c>
      <c r="G267">
        <v>1</v>
      </c>
      <c r="H267">
        <v>18406</v>
      </c>
      <c r="I267">
        <v>0</v>
      </c>
      <c r="K267">
        <v>2</v>
      </c>
      <c r="L267">
        <v>20</v>
      </c>
      <c r="M267">
        <v>12793</v>
      </c>
      <c r="N267">
        <v>27509</v>
      </c>
    </row>
    <row r="268" spans="1:14" x14ac:dyDescent="0.25">
      <c r="A268">
        <v>510</v>
      </c>
      <c r="B268">
        <v>657</v>
      </c>
      <c r="C268">
        <v>46005402</v>
      </c>
      <c r="D268">
        <v>1192550</v>
      </c>
      <c r="F268">
        <v>0</v>
      </c>
      <c r="G268">
        <v>34</v>
      </c>
      <c r="H268">
        <v>4125</v>
      </c>
      <c r="I268">
        <v>17890</v>
      </c>
      <c r="K268">
        <v>8</v>
      </c>
      <c r="L268">
        <v>9</v>
      </c>
      <c r="M268">
        <v>711667</v>
      </c>
      <c r="N268">
        <v>3158</v>
      </c>
    </row>
    <row r="269" spans="1:14" x14ac:dyDescent="0.25">
      <c r="A269">
        <v>4</v>
      </c>
      <c r="B269">
        <v>38</v>
      </c>
      <c r="C269">
        <v>224264</v>
      </c>
      <c r="D269">
        <v>2180</v>
      </c>
      <c r="F269">
        <v>0</v>
      </c>
      <c r="G269">
        <v>2</v>
      </c>
      <c r="H269">
        <v>0</v>
      </c>
      <c r="I269">
        <v>3700</v>
      </c>
      <c r="K269">
        <v>0</v>
      </c>
      <c r="L269">
        <v>2</v>
      </c>
      <c r="M269">
        <v>0</v>
      </c>
      <c r="N269">
        <v>511</v>
      </c>
    </row>
    <row r="270" spans="1:14" x14ac:dyDescent="0.25">
      <c r="A270">
        <v>16</v>
      </c>
      <c r="B270">
        <v>41</v>
      </c>
      <c r="C270">
        <v>474444</v>
      </c>
      <c r="D270">
        <v>26442</v>
      </c>
      <c r="F270">
        <v>7</v>
      </c>
      <c r="G270">
        <v>9</v>
      </c>
      <c r="H270">
        <v>99756</v>
      </c>
      <c r="I270">
        <v>63050</v>
      </c>
      <c r="K270">
        <v>2</v>
      </c>
      <c r="L270">
        <v>0</v>
      </c>
      <c r="M270">
        <v>11997</v>
      </c>
      <c r="N270">
        <v>19419</v>
      </c>
    </row>
    <row r="271" spans="1:14" x14ac:dyDescent="0.25">
      <c r="A271">
        <v>11</v>
      </c>
      <c r="B271">
        <v>13</v>
      </c>
      <c r="C271">
        <v>212544</v>
      </c>
      <c r="D271">
        <v>306749</v>
      </c>
      <c r="F271">
        <v>0</v>
      </c>
      <c r="G271">
        <v>1</v>
      </c>
      <c r="H271">
        <v>460</v>
      </c>
      <c r="I271">
        <v>0</v>
      </c>
      <c r="K271">
        <v>0</v>
      </c>
      <c r="L271">
        <v>145</v>
      </c>
      <c r="M271">
        <v>8148</v>
      </c>
      <c r="N271">
        <v>37211</v>
      </c>
    </row>
    <row r="272" spans="1:14" x14ac:dyDescent="0.25">
      <c r="A272">
        <v>16</v>
      </c>
      <c r="B272">
        <v>0</v>
      </c>
      <c r="C272">
        <v>48379</v>
      </c>
      <c r="D272">
        <v>2277</v>
      </c>
      <c r="F272">
        <v>2</v>
      </c>
      <c r="G272">
        <v>0</v>
      </c>
      <c r="H272">
        <v>14145</v>
      </c>
      <c r="I272">
        <v>4971</v>
      </c>
      <c r="K272">
        <v>4</v>
      </c>
      <c r="L272">
        <v>21</v>
      </c>
      <c r="M272">
        <v>125504</v>
      </c>
      <c r="N272">
        <v>19258</v>
      </c>
    </row>
    <row r="273" spans="1:14" x14ac:dyDescent="0.25">
      <c r="A273">
        <v>0</v>
      </c>
      <c r="B273">
        <v>1</v>
      </c>
      <c r="C273">
        <v>18406</v>
      </c>
      <c r="D273">
        <v>0</v>
      </c>
      <c r="F273">
        <v>0</v>
      </c>
      <c r="G273">
        <v>8</v>
      </c>
      <c r="H273">
        <v>0</v>
      </c>
      <c r="I273">
        <v>2200</v>
      </c>
      <c r="K273">
        <v>13</v>
      </c>
      <c r="L273">
        <v>27</v>
      </c>
      <c r="M273">
        <v>393146</v>
      </c>
      <c r="N273">
        <v>128176</v>
      </c>
    </row>
    <row r="274" spans="1:14" x14ac:dyDescent="0.25">
      <c r="A274">
        <v>0</v>
      </c>
      <c r="B274">
        <v>34</v>
      </c>
      <c r="C274">
        <v>4125</v>
      </c>
      <c r="D274">
        <v>17890</v>
      </c>
      <c r="F274">
        <v>0</v>
      </c>
      <c r="G274">
        <v>2</v>
      </c>
      <c r="H274">
        <v>0</v>
      </c>
      <c r="I274">
        <v>57</v>
      </c>
      <c r="K274">
        <v>0</v>
      </c>
      <c r="L274">
        <v>4</v>
      </c>
      <c r="M274">
        <v>64447</v>
      </c>
      <c r="N274">
        <v>7063</v>
      </c>
    </row>
    <row r="275" spans="1:14" x14ac:dyDescent="0.25">
      <c r="A275">
        <v>0</v>
      </c>
      <c r="B275">
        <v>2</v>
      </c>
      <c r="C275">
        <v>0</v>
      </c>
      <c r="D275">
        <v>3700</v>
      </c>
      <c r="F275">
        <v>12</v>
      </c>
      <c r="G275">
        <v>75</v>
      </c>
      <c r="H275">
        <v>609704</v>
      </c>
      <c r="I275">
        <v>65548</v>
      </c>
      <c r="K275">
        <v>0</v>
      </c>
      <c r="L275">
        <v>5</v>
      </c>
      <c r="M275">
        <v>11313</v>
      </c>
      <c r="N275">
        <v>5805</v>
      </c>
    </row>
    <row r="276" spans="1:14" x14ac:dyDescent="0.25">
      <c r="A276">
        <v>7</v>
      </c>
      <c r="B276">
        <v>9</v>
      </c>
      <c r="C276">
        <v>99756</v>
      </c>
      <c r="D276">
        <v>63050</v>
      </c>
      <c r="F276">
        <v>3</v>
      </c>
      <c r="G276">
        <v>27</v>
      </c>
      <c r="H276">
        <v>344921</v>
      </c>
      <c r="I276">
        <v>408</v>
      </c>
      <c r="K276">
        <v>7</v>
      </c>
      <c r="L276">
        <v>35</v>
      </c>
      <c r="M276">
        <v>200893</v>
      </c>
      <c r="N276">
        <v>30535</v>
      </c>
    </row>
    <row r="277" spans="1:14" x14ac:dyDescent="0.25">
      <c r="A277">
        <v>0</v>
      </c>
      <c r="B277">
        <v>1</v>
      </c>
      <c r="C277">
        <v>460</v>
      </c>
      <c r="D277">
        <v>0</v>
      </c>
      <c r="F277">
        <v>0</v>
      </c>
      <c r="G277">
        <v>5</v>
      </c>
      <c r="H277">
        <v>15368</v>
      </c>
      <c r="I277">
        <v>4544</v>
      </c>
      <c r="K277">
        <v>1</v>
      </c>
      <c r="L277">
        <v>4</v>
      </c>
      <c r="M277">
        <v>8347</v>
      </c>
      <c r="N277">
        <v>2644</v>
      </c>
    </row>
    <row r="278" spans="1:14" x14ac:dyDescent="0.25">
      <c r="A278">
        <v>2</v>
      </c>
      <c r="B278">
        <v>7</v>
      </c>
      <c r="C278">
        <v>20166</v>
      </c>
      <c r="D278">
        <v>8364</v>
      </c>
      <c r="F278">
        <v>0</v>
      </c>
      <c r="G278">
        <v>1</v>
      </c>
      <c r="H278">
        <v>10154</v>
      </c>
      <c r="I278">
        <v>0</v>
      </c>
      <c r="K278">
        <v>1</v>
      </c>
      <c r="L278">
        <v>1</v>
      </c>
      <c r="M278">
        <v>3239</v>
      </c>
      <c r="N278">
        <v>230</v>
      </c>
    </row>
    <row r="279" spans="1:14" x14ac:dyDescent="0.25">
      <c r="A279">
        <v>2</v>
      </c>
      <c r="B279">
        <v>0</v>
      </c>
      <c r="C279">
        <v>14145</v>
      </c>
      <c r="D279">
        <v>4971</v>
      </c>
      <c r="F279">
        <v>2</v>
      </c>
      <c r="G279">
        <v>25</v>
      </c>
      <c r="H279">
        <v>18673</v>
      </c>
      <c r="I279">
        <v>12780</v>
      </c>
      <c r="K279">
        <v>287</v>
      </c>
      <c r="L279">
        <v>544</v>
      </c>
      <c r="M279">
        <v>23270175</v>
      </c>
      <c r="N279">
        <v>0</v>
      </c>
    </row>
    <row r="280" spans="1:14" x14ac:dyDescent="0.25">
      <c r="A280">
        <v>0</v>
      </c>
      <c r="B280">
        <v>8</v>
      </c>
      <c r="C280">
        <v>0</v>
      </c>
      <c r="D280">
        <v>2200</v>
      </c>
      <c r="F280">
        <v>0</v>
      </c>
      <c r="G280">
        <v>1</v>
      </c>
      <c r="H280">
        <v>3309</v>
      </c>
      <c r="I280">
        <v>287</v>
      </c>
      <c r="K280">
        <v>6</v>
      </c>
      <c r="L280">
        <v>7</v>
      </c>
      <c r="M280">
        <v>13074</v>
      </c>
      <c r="N280">
        <v>1402</v>
      </c>
    </row>
    <row r="281" spans="1:14" x14ac:dyDescent="0.25">
      <c r="A281">
        <v>0</v>
      </c>
      <c r="B281">
        <v>2</v>
      </c>
      <c r="C281">
        <v>0</v>
      </c>
      <c r="D281">
        <v>57</v>
      </c>
      <c r="F281">
        <v>10</v>
      </c>
      <c r="G281">
        <v>288</v>
      </c>
      <c r="H281">
        <v>133240</v>
      </c>
      <c r="I281">
        <v>21743</v>
      </c>
      <c r="K281">
        <v>20</v>
      </c>
      <c r="L281">
        <v>138</v>
      </c>
      <c r="M281">
        <v>923520</v>
      </c>
      <c r="N281">
        <v>16284</v>
      </c>
    </row>
    <row r="282" spans="1:14" x14ac:dyDescent="0.25">
      <c r="A282">
        <v>12</v>
      </c>
      <c r="B282">
        <v>75</v>
      </c>
      <c r="C282">
        <v>609704</v>
      </c>
      <c r="D282">
        <v>65548</v>
      </c>
      <c r="F282">
        <v>1</v>
      </c>
      <c r="G282">
        <v>0</v>
      </c>
      <c r="H282">
        <v>638</v>
      </c>
      <c r="I282">
        <v>0</v>
      </c>
      <c r="K282">
        <v>0</v>
      </c>
      <c r="L282">
        <v>2</v>
      </c>
      <c r="M282">
        <v>0</v>
      </c>
      <c r="N282">
        <v>660</v>
      </c>
    </row>
    <row r="283" spans="1:14" x14ac:dyDescent="0.25">
      <c r="A283">
        <v>3</v>
      </c>
      <c r="B283">
        <v>27</v>
      </c>
      <c r="C283">
        <v>344921</v>
      </c>
      <c r="D283">
        <v>408</v>
      </c>
      <c r="F283">
        <v>2</v>
      </c>
      <c r="G283">
        <v>3</v>
      </c>
      <c r="H283">
        <v>41694</v>
      </c>
      <c r="I283">
        <v>13539</v>
      </c>
      <c r="K283">
        <v>26</v>
      </c>
      <c r="L283">
        <v>126</v>
      </c>
      <c r="M283">
        <v>1080900</v>
      </c>
      <c r="N283">
        <v>64099</v>
      </c>
    </row>
    <row r="284" spans="1:14" x14ac:dyDescent="0.25">
      <c r="A284">
        <v>0</v>
      </c>
      <c r="B284">
        <v>5</v>
      </c>
      <c r="C284">
        <v>15368</v>
      </c>
      <c r="D284">
        <v>4544</v>
      </c>
      <c r="F284">
        <v>10</v>
      </c>
      <c r="G284">
        <v>49</v>
      </c>
      <c r="H284">
        <v>1005769</v>
      </c>
      <c r="I284">
        <v>12799</v>
      </c>
      <c r="K284">
        <v>0</v>
      </c>
      <c r="L284">
        <v>4</v>
      </c>
      <c r="M284">
        <v>13545</v>
      </c>
      <c r="N284">
        <v>8069</v>
      </c>
    </row>
    <row r="285" spans="1:14" x14ac:dyDescent="0.25">
      <c r="A285">
        <v>0</v>
      </c>
      <c r="B285">
        <v>1</v>
      </c>
      <c r="C285">
        <v>10154</v>
      </c>
      <c r="D285">
        <v>0</v>
      </c>
      <c r="F285">
        <v>0</v>
      </c>
      <c r="G285">
        <v>4</v>
      </c>
      <c r="H285">
        <v>26080</v>
      </c>
      <c r="I285">
        <v>1959</v>
      </c>
      <c r="K285">
        <v>1</v>
      </c>
      <c r="L285">
        <v>3</v>
      </c>
      <c r="M285">
        <v>28155</v>
      </c>
      <c r="N285">
        <v>14106</v>
      </c>
    </row>
    <row r="286" spans="1:14" x14ac:dyDescent="0.25">
      <c r="A286">
        <v>2</v>
      </c>
      <c r="B286">
        <v>25</v>
      </c>
      <c r="C286">
        <v>18673</v>
      </c>
      <c r="D286">
        <v>12780</v>
      </c>
      <c r="F286">
        <v>0</v>
      </c>
      <c r="G286">
        <v>34</v>
      </c>
      <c r="H286">
        <v>0</v>
      </c>
      <c r="I286">
        <v>2668</v>
      </c>
      <c r="K286">
        <v>0</v>
      </c>
      <c r="L286">
        <v>12</v>
      </c>
      <c r="M286">
        <v>0</v>
      </c>
      <c r="N286">
        <v>2643</v>
      </c>
    </row>
    <row r="287" spans="1:14" x14ac:dyDescent="0.25">
      <c r="A287">
        <v>0</v>
      </c>
      <c r="B287">
        <v>1</v>
      </c>
      <c r="C287">
        <v>3309</v>
      </c>
      <c r="D287">
        <v>287</v>
      </c>
      <c r="F287">
        <v>1</v>
      </c>
      <c r="G287">
        <v>0</v>
      </c>
      <c r="H287">
        <v>156328</v>
      </c>
      <c r="I287">
        <v>103680</v>
      </c>
      <c r="K287">
        <v>0</v>
      </c>
      <c r="L287">
        <v>1</v>
      </c>
      <c r="M287">
        <v>0</v>
      </c>
      <c r="N287">
        <v>717</v>
      </c>
    </row>
    <row r="288" spans="1:14" x14ac:dyDescent="0.25">
      <c r="A288">
        <v>10</v>
      </c>
      <c r="B288">
        <v>288</v>
      </c>
      <c r="C288">
        <v>133240</v>
      </c>
      <c r="D288">
        <v>21743</v>
      </c>
      <c r="F288">
        <v>2</v>
      </c>
      <c r="G288">
        <v>27</v>
      </c>
      <c r="H288">
        <v>477165</v>
      </c>
      <c r="I288">
        <v>1426</v>
      </c>
      <c r="K288">
        <v>1</v>
      </c>
      <c r="L288">
        <v>46</v>
      </c>
      <c r="M288">
        <v>0</v>
      </c>
      <c r="N288">
        <v>7455</v>
      </c>
    </row>
    <row r="289" spans="1:14" x14ac:dyDescent="0.25">
      <c r="A289">
        <v>1</v>
      </c>
      <c r="B289">
        <v>0</v>
      </c>
      <c r="C289">
        <v>638</v>
      </c>
      <c r="D289">
        <v>0</v>
      </c>
      <c r="F289">
        <v>2</v>
      </c>
      <c r="G289">
        <v>143</v>
      </c>
      <c r="H289">
        <v>280481</v>
      </c>
      <c r="I289">
        <v>0</v>
      </c>
      <c r="K289">
        <v>3</v>
      </c>
      <c r="L289">
        <v>0</v>
      </c>
      <c r="M289">
        <v>15706</v>
      </c>
      <c r="N289">
        <v>13897</v>
      </c>
    </row>
    <row r="290" spans="1:14" x14ac:dyDescent="0.25">
      <c r="A290">
        <v>2</v>
      </c>
      <c r="B290">
        <v>3</v>
      </c>
      <c r="C290">
        <v>41694</v>
      </c>
      <c r="D290">
        <v>13539</v>
      </c>
      <c r="F290">
        <v>16</v>
      </c>
      <c r="G290">
        <v>23</v>
      </c>
      <c r="H290">
        <v>929686</v>
      </c>
      <c r="I290">
        <v>19109</v>
      </c>
      <c r="K290">
        <v>0</v>
      </c>
      <c r="L290">
        <v>75</v>
      </c>
      <c r="M290">
        <v>24817</v>
      </c>
      <c r="N290">
        <v>18631</v>
      </c>
    </row>
    <row r="291" spans="1:14" x14ac:dyDescent="0.25">
      <c r="A291">
        <v>10</v>
      </c>
      <c r="B291">
        <v>49</v>
      </c>
      <c r="C291">
        <v>1005769</v>
      </c>
      <c r="D291">
        <v>12799</v>
      </c>
      <c r="F291">
        <v>2</v>
      </c>
      <c r="G291">
        <v>20</v>
      </c>
      <c r="H291">
        <v>12793</v>
      </c>
      <c r="I291">
        <v>27509</v>
      </c>
      <c r="K291">
        <v>1</v>
      </c>
      <c r="L291">
        <v>20</v>
      </c>
      <c r="M291">
        <v>0</v>
      </c>
      <c r="N291">
        <v>2468</v>
      </c>
    </row>
    <row r="292" spans="1:14" x14ac:dyDescent="0.25">
      <c r="A292">
        <v>0</v>
      </c>
      <c r="B292">
        <v>4</v>
      </c>
      <c r="C292">
        <v>26080</v>
      </c>
      <c r="D292">
        <v>1959</v>
      </c>
      <c r="F292">
        <v>8</v>
      </c>
      <c r="G292">
        <v>9</v>
      </c>
      <c r="H292">
        <v>711667</v>
      </c>
      <c r="I292">
        <v>3158</v>
      </c>
      <c r="K292">
        <v>3</v>
      </c>
      <c r="L292">
        <v>4</v>
      </c>
      <c r="M292">
        <v>15342</v>
      </c>
      <c r="N292">
        <v>24862</v>
      </c>
    </row>
    <row r="293" spans="1:14" x14ac:dyDescent="0.25">
      <c r="A293">
        <v>0</v>
      </c>
      <c r="B293">
        <v>34</v>
      </c>
      <c r="C293">
        <v>0</v>
      </c>
      <c r="D293">
        <v>2668</v>
      </c>
      <c r="F293">
        <v>0</v>
      </c>
      <c r="G293">
        <v>2</v>
      </c>
      <c r="H293">
        <v>0</v>
      </c>
      <c r="I293">
        <v>511</v>
      </c>
      <c r="K293">
        <v>1</v>
      </c>
      <c r="L293">
        <v>12</v>
      </c>
      <c r="M293">
        <v>111194</v>
      </c>
      <c r="N293">
        <v>11562</v>
      </c>
    </row>
    <row r="294" spans="1:14" x14ac:dyDescent="0.25">
      <c r="A294">
        <v>1</v>
      </c>
      <c r="B294">
        <v>0</v>
      </c>
      <c r="C294">
        <v>156328</v>
      </c>
      <c r="D294">
        <v>103680</v>
      </c>
      <c r="F294">
        <v>2</v>
      </c>
      <c r="G294">
        <v>0</v>
      </c>
      <c r="H294">
        <v>11997</v>
      </c>
      <c r="I294">
        <v>19419</v>
      </c>
      <c r="K294">
        <v>7</v>
      </c>
      <c r="L294">
        <v>14</v>
      </c>
      <c r="M294">
        <v>11362</v>
      </c>
      <c r="N294">
        <v>2277</v>
      </c>
    </row>
    <row r="295" spans="1:14" x14ac:dyDescent="0.25">
      <c r="A295">
        <v>2</v>
      </c>
      <c r="B295">
        <v>27</v>
      </c>
      <c r="C295">
        <v>477165</v>
      </c>
      <c r="D295">
        <v>1426</v>
      </c>
      <c r="F295">
        <v>0</v>
      </c>
      <c r="G295">
        <v>145</v>
      </c>
      <c r="H295">
        <v>8148</v>
      </c>
      <c r="I295">
        <v>37211</v>
      </c>
      <c r="K295">
        <v>0</v>
      </c>
      <c r="L295">
        <v>2</v>
      </c>
      <c r="M295">
        <v>8534</v>
      </c>
      <c r="N295">
        <v>0</v>
      </c>
    </row>
    <row r="296" spans="1:14" x14ac:dyDescent="0.25">
      <c r="A296">
        <v>2</v>
      </c>
      <c r="B296">
        <v>143</v>
      </c>
      <c r="C296">
        <v>280481</v>
      </c>
      <c r="D296">
        <v>0</v>
      </c>
      <c r="F296">
        <v>4</v>
      </c>
      <c r="G296">
        <v>21</v>
      </c>
      <c r="H296">
        <v>125504</v>
      </c>
      <c r="I296">
        <v>19258</v>
      </c>
      <c r="K296">
        <v>0</v>
      </c>
      <c r="L296">
        <v>2</v>
      </c>
      <c r="M296">
        <v>0</v>
      </c>
      <c r="N296">
        <v>354</v>
      </c>
    </row>
    <row r="297" spans="1:14" x14ac:dyDescent="0.25">
      <c r="A297">
        <v>16</v>
      </c>
      <c r="B297">
        <v>23</v>
      </c>
      <c r="C297">
        <v>929686</v>
      </c>
      <c r="D297">
        <v>19109</v>
      </c>
      <c r="F297">
        <v>13</v>
      </c>
      <c r="G297">
        <v>27</v>
      </c>
      <c r="H297">
        <v>393146</v>
      </c>
      <c r="I297">
        <v>128176</v>
      </c>
      <c r="K297">
        <v>3</v>
      </c>
      <c r="L297">
        <v>54</v>
      </c>
      <c r="M297">
        <v>478286</v>
      </c>
      <c r="N297">
        <v>68853</v>
      </c>
    </row>
    <row r="298" spans="1:14" x14ac:dyDescent="0.25">
      <c r="A298">
        <v>2</v>
      </c>
      <c r="B298">
        <v>20</v>
      </c>
      <c r="C298">
        <v>12793</v>
      </c>
      <c r="D298">
        <v>27509</v>
      </c>
      <c r="F298">
        <v>0</v>
      </c>
      <c r="G298">
        <v>4</v>
      </c>
      <c r="H298">
        <v>64447</v>
      </c>
      <c r="I298">
        <v>7063</v>
      </c>
      <c r="K298">
        <v>0</v>
      </c>
      <c r="L298">
        <v>3</v>
      </c>
      <c r="M298">
        <v>0</v>
      </c>
      <c r="N298">
        <v>2012</v>
      </c>
    </row>
    <row r="299" spans="1:14" x14ac:dyDescent="0.25">
      <c r="A299">
        <v>8</v>
      </c>
      <c r="B299">
        <v>9</v>
      </c>
      <c r="C299">
        <v>711667</v>
      </c>
      <c r="D299">
        <v>3158</v>
      </c>
      <c r="F299">
        <v>0</v>
      </c>
      <c r="G299">
        <v>5</v>
      </c>
      <c r="H299">
        <v>11313</v>
      </c>
      <c r="I299">
        <v>5805</v>
      </c>
      <c r="K299">
        <v>2</v>
      </c>
      <c r="L299">
        <v>17</v>
      </c>
      <c r="M299">
        <v>111168</v>
      </c>
      <c r="N299">
        <v>5199</v>
      </c>
    </row>
    <row r="300" spans="1:14" x14ac:dyDescent="0.25">
      <c r="A300">
        <v>0</v>
      </c>
      <c r="B300">
        <v>2</v>
      </c>
      <c r="C300">
        <v>0</v>
      </c>
      <c r="D300">
        <v>511</v>
      </c>
      <c r="F300">
        <v>7</v>
      </c>
      <c r="G300">
        <v>35</v>
      </c>
      <c r="H300">
        <v>200893</v>
      </c>
      <c r="I300">
        <v>30535</v>
      </c>
      <c r="K300">
        <v>0</v>
      </c>
      <c r="L300">
        <v>13</v>
      </c>
      <c r="M300">
        <v>25670</v>
      </c>
      <c r="N300">
        <v>4380</v>
      </c>
    </row>
    <row r="301" spans="1:14" x14ac:dyDescent="0.25">
      <c r="A301">
        <v>2</v>
      </c>
      <c r="B301">
        <v>0</v>
      </c>
      <c r="C301">
        <v>11997</v>
      </c>
      <c r="D301">
        <v>19419</v>
      </c>
      <c r="F301">
        <v>1</v>
      </c>
      <c r="G301">
        <v>4</v>
      </c>
      <c r="H301">
        <v>8347</v>
      </c>
      <c r="I301">
        <v>2644</v>
      </c>
      <c r="K301">
        <v>1</v>
      </c>
      <c r="L301">
        <v>13</v>
      </c>
      <c r="M301">
        <v>1624</v>
      </c>
      <c r="N301">
        <v>1300</v>
      </c>
    </row>
    <row r="302" spans="1:14" x14ac:dyDescent="0.25">
      <c r="A302">
        <v>0</v>
      </c>
      <c r="B302">
        <v>145</v>
      </c>
      <c r="C302">
        <v>8148</v>
      </c>
      <c r="D302">
        <v>37211</v>
      </c>
      <c r="F302">
        <v>1</v>
      </c>
      <c r="G302">
        <v>1</v>
      </c>
      <c r="H302">
        <v>3239</v>
      </c>
      <c r="I302">
        <v>230</v>
      </c>
      <c r="K302">
        <v>1</v>
      </c>
      <c r="L302">
        <v>0</v>
      </c>
      <c r="M302">
        <v>17472</v>
      </c>
      <c r="N302">
        <v>19695</v>
      </c>
    </row>
    <row r="303" spans="1:14" x14ac:dyDescent="0.25">
      <c r="A303">
        <v>4</v>
      </c>
      <c r="B303">
        <v>21</v>
      </c>
      <c r="C303">
        <v>125504</v>
      </c>
      <c r="D303">
        <v>19258</v>
      </c>
      <c r="F303">
        <v>287</v>
      </c>
      <c r="G303">
        <v>544</v>
      </c>
      <c r="H303">
        <v>23270175</v>
      </c>
      <c r="I303">
        <v>0</v>
      </c>
      <c r="K303">
        <v>0</v>
      </c>
      <c r="L303">
        <v>2</v>
      </c>
      <c r="M303">
        <v>0</v>
      </c>
      <c r="N303">
        <v>3627</v>
      </c>
    </row>
    <row r="304" spans="1:14" x14ac:dyDescent="0.25">
      <c r="A304">
        <v>13</v>
      </c>
      <c r="B304">
        <v>27</v>
      </c>
      <c r="C304">
        <v>393146</v>
      </c>
      <c r="D304">
        <v>128176</v>
      </c>
      <c r="F304">
        <v>6</v>
      </c>
      <c r="G304">
        <v>7</v>
      </c>
      <c r="H304">
        <v>13074</v>
      </c>
      <c r="I304">
        <v>1402</v>
      </c>
      <c r="K304">
        <v>11</v>
      </c>
      <c r="L304">
        <v>47</v>
      </c>
      <c r="M304">
        <v>187855</v>
      </c>
      <c r="N304">
        <v>218944</v>
      </c>
    </row>
    <row r="305" spans="1:14" x14ac:dyDescent="0.25">
      <c r="A305">
        <v>0</v>
      </c>
      <c r="B305">
        <v>4</v>
      </c>
      <c r="C305">
        <v>64447</v>
      </c>
      <c r="D305">
        <v>7063</v>
      </c>
      <c r="F305">
        <v>20</v>
      </c>
      <c r="G305">
        <v>138</v>
      </c>
      <c r="H305">
        <v>923520</v>
      </c>
      <c r="I305">
        <v>16284</v>
      </c>
      <c r="K305">
        <v>0</v>
      </c>
      <c r="L305">
        <v>9</v>
      </c>
      <c r="M305">
        <v>0</v>
      </c>
      <c r="N305">
        <v>796</v>
      </c>
    </row>
    <row r="306" spans="1:14" x14ac:dyDescent="0.25">
      <c r="A306">
        <v>0</v>
      </c>
      <c r="B306">
        <v>5</v>
      </c>
      <c r="C306">
        <v>11313</v>
      </c>
      <c r="D306">
        <v>5805</v>
      </c>
      <c r="F306">
        <v>0</v>
      </c>
      <c r="G306">
        <v>2</v>
      </c>
      <c r="H306">
        <v>0</v>
      </c>
      <c r="I306">
        <v>660</v>
      </c>
      <c r="K306">
        <v>10</v>
      </c>
      <c r="L306">
        <v>27</v>
      </c>
      <c r="M306">
        <v>663831</v>
      </c>
      <c r="N306">
        <v>8419</v>
      </c>
    </row>
    <row r="307" spans="1:14" x14ac:dyDescent="0.25">
      <c r="A307">
        <v>7</v>
      </c>
      <c r="B307">
        <v>35</v>
      </c>
      <c r="C307">
        <v>200893</v>
      </c>
      <c r="D307">
        <v>30535</v>
      </c>
      <c r="F307">
        <v>26</v>
      </c>
      <c r="G307">
        <v>126</v>
      </c>
      <c r="H307">
        <v>1080900</v>
      </c>
      <c r="I307">
        <v>64099</v>
      </c>
      <c r="K307">
        <v>0</v>
      </c>
      <c r="L307">
        <v>6</v>
      </c>
      <c r="M307">
        <v>7158</v>
      </c>
      <c r="N307">
        <v>1859</v>
      </c>
    </row>
    <row r="308" spans="1:14" x14ac:dyDescent="0.25">
      <c r="A308">
        <v>1</v>
      </c>
      <c r="B308">
        <v>4</v>
      </c>
      <c r="C308">
        <v>8347</v>
      </c>
      <c r="D308">
        <v>2644</v>
      </c>
      <c r="F308">
        <v>0</v>
      </c>
      <c r="G308">
        <v>4</v>
      </c>
      <c r="H308">
        <v>13545</v>
      </c>
      <c r="I308">
        <v>8069</v>
      </c>
    </row>
    <row r="309" spans="1:14" x14ac:dyDescent="0.25">
      <c r="A309">
        <v>1</v>
      </c>
      <c r="B309">
        <v>1</v>
      </c>
      <c r="C309">
        <v>3239</v>
      </c>
      <c r="D309">
        <v>230</v>
      </c>
      <c r="F309">
        <v>64</v>
      </c>
      <c r="G309">
        <v>20</v>
      </c>
      <c r="H309">
        <v>4016686</v>
      </c>
      <c r="I309">
        <v>6215</v>
      </c>
    </row>
    <row r="310" spans="1:14" x14ac:dyDescent="0.25">
      <c r="A310">
        <v>287</v>
      </c>
      <c r="B310">
        <v>544</v>
      </c>
      <c r="C310">
        <v>23270175</v>
      </c>
      <c r="D310">
        <v>0</v>
      </c>
      <c r="F310">
        <v>1</v>
      </c>
      <c r="G310">
        <v>3</v>
      </c>
      <c r="H310">
        <v>28155</v>
      </c>
      <c r="I310">
        <v>14106</v>
      </c>
    </row>
    <row r="311" spans="1:14" x14ac:dyDescent="0.25">
      <c r="A311">
        <v>6</v>
      </c>
      <c r="B311">
        <v>7</v>
      </c>
      <c r="C311">
        <v>13074</v>
      </c>
      <c r="D311">
        <v>1402</v>
      </c>
      <c r="F311">
        <v>0</v>
      </c>
      <c r="G311">
        <v>12</v>
      </c>
      <c r="H311">
        <v>0</v>
      </c>
      <c r="I311">
        <v>2643</v>
      </c>
    </row>
    <row r="312" spans="1:14" x14ac:dyDescent="0.25">
      <c r="A312">
        <v>1</v>
      </c>
      <c r="B312">
        <v>4</v>
      </c>
      <c r="C312">
        <v>15034</v>
      </c>
      <c r="D312">
        <v>1261</v>
      </c>
      <c r="F312">
        <v>0</v>
      </c>
      <c r="G312">
        <v>1</v>
      </c>
      <c r="H312">
        <v>0</v>
      </c>
      <c r="I312">
        <v>717</v>
      </c>
    </row>
    <row r="313" spans="1:14" x14ac:dyDescent="0.25">
      <c r="A313">
        <v>20</v>
      </c>
      <c r="B313">
        <v>138</v>
      </c>
      <c r="C313">
        <v>923520</v>
      </c>
      <c r="D313">
        <v>16284</v>
      </c>
      <c r="F313">
        <v>1</v>
      </c>
      <c r="G313">
        <v>46</v>
      </c>
      <c r="H313">
        <v>0</v>
      </c>
      <c r="I313">
        <v>7455</v>
      </c>
    </row>
    <row r="314" spans="1:14" x14ac:dyDescent="0.25">
      <c r="A314">
        <v>0</v>
      </c>
      <c r="B314">
        <v>3</v>
      </c>
      <c r="C314">
        <v>29538</v>
      </c>
      <c r="D314">
        <v>0</v>
      </c>
      <c r="F314">
        <v>3</v>
      </c>
      <c r="G314">
        <v>0</v>
      </c>
      <c r="H314">
        <v>15706</v>
      </c>
      <c r="I314">
        <v>13897</v>
      </c>
    </row>
    <row r="315" spans="1:14" x14ac:dyDescent="0.25">
      <c r="A315">
        <v>0</v>
      </c>
      <c r="B315">
        <v>2</v>
      </c>
      <c r="C315">
        <v>0</v>
      </c>
      <c r="D315">
        <v>660</v>
      </c>
      <c r="F315">
        <v>0</v>
      </c>
      <c r="G315">
        <v>75</v>
      </c>
      <c r="H315">
        <v>24817</v>
      </c>
      <c r="I315">
        <v>18631</v>
      </c>
    </row>
    <row r="316" spans="1:14" x14ac:dyDescent="0.25">
      <c r="A316">
        <v>2</v>
      </c>
      <c r="B316">
        <v>4</v>
      </c>
      <c r="C316">
        <v>0</v>
      </c>
      <c r="D316">
        <v>619</v>
      </c>
      <c r="F316">
        <v>1</v>
      </c>
      <c r="G316">
        <v>20</v>
      </c>
      <c r="H316">
        <v>0</v>
      </c>
      <c r="I316">
        <v>2468</v>
      </c>
    </row>
    <row r="317" spans="1:14" x14ac:dyDescent="0.25">
      <c r="A317">
        <v>1</v>
      </c>
      <c r="B317">
        <v>3</v>
      </c>
      <c r="C317">
        <v>0</v>
      </c>
      <c r="D317">
        <v>507</v>
      </c>
      <c r="F317">
        <v>3</v>
      </c>
      <c r="G317">
        <v>4</v>
      </c>
      <c r="H317">
        <v>15342</v>
      </c>
      <c r="I317">
        <v>24862</v>
      </c>
    </row>
    <row r="318" spans="1:14" x14ac:dyDescent="0.25">
      <c r="A318">
        <v>26</v>
      </c>
      <c r="B318">
        <v>126</v>
      </c>
      <c r="C318">
        <v>1080900</v>
      </c>
      <c r="D318">
        <v>64099</v>
      </c>
      <c r="F318">
        <v>1</v>
      </c>
      <c r="G318">
        <v>12</v>
      </c>
      <c r="H318">
        <v>111194</v>
      </c>
      <c r="I318">
        <v>11562</v>
      </c>
    </row>
    <row r="319" spans="1:14" x14ac:dyDescent="0.25">
      <c r="A319">
        <v>0</v>
      </c>
      <c r="B319">
        <v>1</v>
      </c>
      <c r="C319">
        <v>0</v>
      </c>
      <c r="D319">
        <v>4808</v>
      </c>
      <c r="F319">
        <v>7</v>
      </c>
      <c r="G319">
        <v>14</v>
      </c>
      <c r="H319">
        <v>11362</v>
      </c>
      <c r="I319">
        <v>2277</v>
      </c>
    </row>
    <row r="320" spans="1:14" x14ac:dyDescent="0.25">
      <c r="A320">
        <v>0</v>
      </c>
      <c r="B320">
        <v>4</v>
      </c>
      <c r="C320">
        <v>13545</v>
      </c>
      <c r="D320">
        <v>8069</v>
      </c>
      <c r="F320">
        <v>0</v>
      </c>
      <c r="G320">
        <v>2</v>
      </c>
      <c r="H320">
        <v>8534</v>
      </c>
      <c r="I320">
        <v>0</v>
      </c>
    </row>
    <row r="321" spans="1:9" x14ac:dyDescent="0.25">
      <c r="A321">
        <v>64</v>
      </c>
      <c r="B321">
        <v>20</v>
      </c>
      <c r="C321">
        <v>4016686</v>
      </c>
      <c r="D321">
        <v>6215</v>
      </c>
      <c r="F321">
        <v>0</v>
      </c>
      <c r="G321">
        <v>2</v>
      </c>
      <c r="H321">
        <v>0</v>
      </c>
      <c r="I321">
        <v>354</v>
      </c>
    </row>
    <row r="322" spans="1:9" x14ac:dyDescent="0.25">
      <c r="A322">
        <v>1</v>
      </c>
      <c r="B322">
        <v>3</v>
      </c>
      <c r="C322">
        <v>28155</v>
      </c>
      <c r="D322">
        <v>14106</v>
      </c>
      <c r="F322">
        <v>3</v>
      </c>
      <c r="G322">
        <v>54</v>
      </c>
      <c r="H322">
        <v>478286</v>
      </c>
      <c r="I322">
        <v>68853</v>
      </c>
    </row>
    <row r="323" spans="1:9" x14ac:dyDescent="0.25">
      <c r="A323">
        <v>0</v>
      </c>
      <c r="B323">
        <v>12</v>
      </c>
      <c r="C323">
        <v>0</v>
      </c>
      <c r="D323">
        <v>2643</v>
      </c>
      <c r="F323">
        <v>0</v>
      </c>
      <c r="G323">
        <v>3</v>
      </c>
      <c r="H323">
        <v>0</v>
      </c>
      <c r="I323">
        <v>2012</v>
      </c>
    </row>
    <row r="324" spans="1:9" x14ac:dyDescent="0.25">
      <c r="A324">
        <v>0</v>
      </c>
      <c r="B324">
        <v>1</v>
      </c>
      <c r="C324">
        <v>2524</v>
      </c>
      <c r="D324">
        <v>0</v>
      </c>
      <c r="F324">
        <v>2</v>
      </c>
      <c r="G324">
        <v>17</v>
      </c>
      <c r="H324">
        <v>111168</v>
      </c>
      <c r="I324">
        <v>5199</v>
      </c>
    </row>
    <row r="325" spans="1:9" x14ac:dyDescent="0.25">
      <c r="A325">
        <v>0</v>
      </c>
      <c r="B325">
        <v>1</v>
      </c>
      <c r="C325">
        <v>0</v>
      </c>
      <c r="D325">
        <v>717</v>
      </c>
      <c r="F325">
        <v>0</v>
      </c>
      <c r="G325">
        <v>13</v>
      </c>
      <c r="H325">
        <v>25670</v>
      </c>
      <c r="I325">
        <v>4380</v>
      </c>
    </row>
    <row r="326" spans="1:9" x14ac:dyDescent="0.25">
      <c r="A326">
        <v>1</v>
      </c>
      <c r="B326">
        <v>46</v>
      </c>
      <c r="C326">
        <v>0</v>
      </c>
      <c r="D326">
        <v>7455</v>
      </c>
      <c r="F326">
        <v>1</v>
      </c>
      <c r="G326">
        <v>13</v>
      </c>
      <c r="H326">
        <v>1624</v>
      </c>
      <c r="I326">
        <v>1300</v>
      </c>
    </row>
    <row r="327" spans="1:9" x14ac:dyDescent="0.25">
      <c r="A327">
        <v>3</v>
      </c>
      <c r="B327">
        <v>0</v>
      </c>
      <c r="C327">
        <v>15706</v>
      </c>
      <c r="D327">
        <v>13897</v>
      </c>
      <c r="F327">
        <v>1</v>
      </c>
      <c r="G327">
        <v>0</v>
      </c>
      <c r="H327">
        <v>17472</v>
      </c>
      <c r="I327">
        <v>19695</v>
      </c>
    </row>
    <row r="328" spans="1:9" x14ac:dyDescent="0.25">
      <c r="A328">
        <v>0</v>
      </c>
      <c r="B328">
        <v>1</v>
      </c>
      <c r="C328">
        <v>181</v>
      </c>
      <c r="D328">
        <v>0</v>
      </c>
      <c r="F328">
        <v>0</v>
      </c>
      <c r="G328">
        <v>2</v>
      </c>
      <c r="H328">
        <v>0</v>
      </c>
      <c r="I328">
        <v>3627</v>
      </c>
    </row>
    <row r="329" spans="1:9" x14ac:dyDescent="0.25">
      <c r="A329">
        <v>0</v>
      </c>
      <c r="B329">
        <v>9</v>
      </c>
      <c r="C329">
        <v>0</v>
      </c>
      <c r="D329">
        <v>191</v>
      </c>
      <c r="F329">
        <v>11</v>
      </c>
      <c r="G329">
        <v>47</v>
      </c>
      <c r="H329">
        <v>187855</v>
      </c>
      <c r="I329">
        <v>218944</v>
      </c>
    </row>
    <row r="330" spans="1:9" x14ac:dyDescent="0.25">
      <c r="A330">
        <v>0</v>
      </c>
      <c r="B330">
        <v>2</v>
      </c>
      <c r="C330">
        <v>0</v>
      </c>
      <c r="D330">
        <v>5432</v>
      </c>
      <c r="F330">
        <v>0</v>
      </c>
      <c r="G330">
        <v>9</v>
      </c>
      <c r="H330">
        <v>0</v>
      </c>
      <c r="I330">
        <v>796</v>
      </c>
    </row>
    <row r="331" spans="1:9" x14ac:dyDescent="0.25">
      <c r="A331">
        <v>1</v>
      </c>
      <c r="B331">
        <v>5</v>
      </c>
      <c r="C331">
        <v>3078</v>
      </c>
      <c r="D331">
        <v>5002</v>
      </c>
      <c r="F331">
        <v>10</v>
      </c>
      <c r="G331">
        <v>27</v>
      </c>
      <c r="H331">
        <v>663831</v>
      </c>
      <c r="I331">
        <v>8419</v>
      </c>
    </row>
    <row r="332" spans="1:9" x14ac:dyDescent="0.25">
      <c r="A332">
        <v>1</v>
      </c>
      <c r="B332">
        <v>0</v>
      </c>
      <c r="C332">
        <v>11791</v>
      </c>
      <c r="D332">
        <v>10213</v>
      </c>
      <c r="F332">
        <v>0</v>
      </c>
      <c r="G332">
        <v>6</v>
      </c>
      <c r="H332">
        <v>7158</v>
      </c>
      <c r="I332">
        <v>1859</v>
      </c>
    </row>
    <row r="333" spans="1:9" x14ac:dyDescent="0.25">
      <c r="A333">
        <v>0</v>
      </c>
      <c r="B333">
        <v>3</v>
      </c>
      <c r="C333">
        <v>0</v>
      </c>
      <c r="D333">
        <v>3818</v>
      </c>
    </row>
    <row r="334" spans="1:9" x14ac:dyDescent="0.25">
      <c r="A334">
        <v>0</v>
      </c>
      <c r="B334">
        <v>75</v>
      </c>
      <c r="C334">
        <v>24817</v>
      </c>
      <c r="D334">
        <v>18631</v>
      </c>
    </row>
    <row r="335" spans="1:9" x14ac:dyDescent="0.25">
      <c r="A335">
        <v>1</v>
      </c>
      <c r="B335">
        <v>20</v>
      </c>
      <c r="C335">
        <v>0</v>
      </c>
      <c r="D335">
        <v>2468</v>
      </c>
    </row>
    <row r="336" spans="1:9" x14ac:dyDescent="0.25">
      <c r="A336">
        <v>0</v>
      </c>
      <c r="B336">
        <v>1</v>
      </c>
      <c r="C336">
        <v>943</v>
      </c>
      <c r="D336">
        <v>0</v>
      </c>
    </row>
    <row r="337" spans="1:4" x14ac:dyDescent="0.25">
      <c r="A337">
        <v>3</v>
      </c>
      <c r="B337">
        <v>4</v>
      </c>
      <c r="C337">
        <v>15342</v>
      </c>
      <c r="D337">
        <v>24862</v>
      </c>
    </row>
    <row r="338" spans="1:4" x14ac:dyDescent="0.25">
      <c r="A338">
        <v>1</v>
      </c>
      <c r="B338">
        <v>12</v>
      </c>
      <c r="C338">
        <v>111194</v>
      </c>
      <c r="D338">
        <v>11562</v>
      </c>
    </row>
    <row r="339" spans="1:4" x14ac:dyDescent="0.25">
      <c r="A339">
        <v>7</v>
      </c>
      <c r="B339">
        <v>14</v>
      </c>
      <c r="C339">
        <v>11362</v>
      </c>
      <c r="D339">
        <v>2277</v>
      </c>
    </row>
    <row r="340" spans="1:4" x14ac:dyDescent="0.25">
      <c r="A340">
        <v>0</v>
      </c>
      <c r="B340">
        <v>2</v>
      </c>
      <c r="C340">
        <v>8534</v>
      </c>
      <c r="D340">
        <v>0</v>
      </c>
    </row>
    <row r="341" spans="1:4" x14ac:dyDescent="0.25">
      <c r="A341">
        <v>0</v>
      </c>
      <c r="B341">
        <v>2</v>
      </c>
      <c r="C341">
        <v>0</v>
      </c>
      <c r="D341">
        <v>354</v>
      </c>
    </row>
    <row r="342" spans="1:4" x14ac:dyDescent="0.25">
      <c r="A342">
        <v>3</v>
      </c>
      <c r="B342">
        <v>117</v>
      </c>
      <c r="C342">
        <v>19160</v>
      </c>
      <c r="D342">
        <v>1698</v>
      </c>
    </row>
    <row r="343" spans="1:4" x14ac:dyDescent="0.25">
      <c r="A343">
        <v>3</v>
      </c>
      <c r="B343">
        <v>54</v>
      </c>
      <c r="C343">
        <v>478286</v>
      </c>
      <c r="D343">
        <v>68853</v>
      </c>
    </row>
    <row r="344" spans="1:4" x14ac:dyDescent="0.25">
      <c r="A344">
        <v>0</v>
      </c>
      <c r="B344">
        <v>3</v>
      </c>
      <c r="C344">
        <v>0</v>
      </c>
      <c r="D344">
        <v>2012</v>
      </c>
    </row>
    <row r="345" spans="1:4" x14ac:dyDescent="0.25">
      <c r="A345">
        <v>0</v>
      </c>
      <c r="B345">
        <v>6</v>
      </c>
      <c r="C345">
        <v>0</v>
      </c>
      <c r="D345">
        <v>1037</v>
      </c>
    </row>
    <row r="346" spans="1:4" x14ac:dyDescent="0.25">
      <c r="A346">
        <v>251</v>
      </c>
      <c r="B346">
        <v>148</v>
      </c>
      <c r="C346">
        <v>62799624</v>
      </c>
      <c r="D346">
        <v>16312313</v>
      </c>
    </row>
    <row r="347" spans="1:4" x14ac:dyDescent="0.25">
      <c r="A347">
        <v>2</v>
      </c>
      <c r="B347">
        <v>17</v>
      </c>
      <c r="C347">
        <v>111168</v>
      </c>
      <c r="D347">
        <v>5199</v>
      </c>
    </row>
    <row r="348" spans="1:4" x14ac:dyDescent="0.25">
      <c r="A348">
        <v>0</v>
      </c>
      <c r="B348">
        <v>13</v>
      </c>
      <c r="C348">
        <v>25670</v>
      </c>
      <c r="D348">
        <v>4380</v>
      </c>
    </row>
    <row r="349" spans="1:4" x14ac:dyDescent="0.25">
      <c r="A349">
        <v>1</v>
      </c>
      <c r="B349">
        <v>13</v>
      </c>
      <c r="C349">
        <v>1624</v>
      </c>
      <c r="D349">
        <v>1300</v>
      </c>
    </row>
    <row r="350" spans="1:4" x14ac:dyDescent="0.25">
      <c r="A350">
        <v>1</v>
      </c>
      <c r="B350">
        <v>0</v>
      </c>
      <c r="C350">
        <v>17472</v>
      </c>
      <c r="D350">
        <v>19695</v>
      </c>
    </row>
    <row r="351" spans="1:4" x14ac:dyDescent="0.25">
      <c r="A351">
        <v>0</v>
      </c>
      <c r="B351">
        <v>2</v>
      </c>
      <c r="C351">
        <v>0</v>
      </c>
      <c r="D351">
        <v>3627</v>
      </c>
    </row>
    <row r="352" spans="1:4" x14ac:dyDescent="0.25">
      <c r="A352">
        <v>0</v>
      </c>
      <c r="B352">
        <v>2</v>
      </c>
      <c r="C352">
        <v>444</v>
      </c>
      <c r="D352">
        <v>507</v>
      </c>
    </row>
    <row r="353" spans="1:4" x14ac:dyDescent="0.25">
      <c r="A353">
        <v>0</v>
      </c>
      <c r="B353">
        <v>4</v>
      </c>
      <c r="C353">
        <v>2631</v>
      </c>
      <c r="D353">
        <v>135</v>
      </c>
    </row>
    <row r="354" spans="1:4" x14ac:dyDescent="0.25">
      <c r="A354">
        <v>11</v>
      </c>
      <c r="B354">
        <v>47</v>
      </c>
      <c r="C354">
        <v>187855</v>
      </c>
      <c r="D354">
        <v>218944</v>
      </c>
    </row>
    <row r="355" spans="1:4" x14ac:dyDescent="0.25">
      <c r="A355">
        <v>0</v>
      </c>
      <c r="B355">
        <v>18</v>
      </c>
      <c r="C355">
        <v>0</v>
      </c>
      <c r="D355">
        <v>1490</v>
      </c>
    </row>
    <row r="356" spans="1:4" x14ac:dyDescent="0.25">
      <c r="A356">
        <v>0</v>
      </c>
      <c r="B356">
        <v>9</v>
      </c>
      <c r="C356">
        <v>0</v>
      </c>
      <c r="D356">
        <v>796</v>
      </c>
    </row>
    <row r="357" spans="1:4" x14ac:dyDescent="0.25">
      <c r="A357">
        <v>10</v>
      </c>
      <c r="B357">
        <v>27</v>
      </c>
      <c r="C357">
        <v>663831</v>
      </c>
      <c r="D357">
        <v>8419</v>
      </c>
    </row>
    <row r="358" spans="1:4" x14ac:dyDescent="0.25">
      <c r="A358">
        <v>3</v>
      </c>
      <c r="B358">
        <v>16</v>
      </c>
      <c r="C358">
        <v>18030</v>
      </c>
      <c r="D358">
        <v>3771</v>
      </c>
    </row>
    <row r="359" spans="1:4" x14ac:dyDescent="0.25">
      <c r="A359">
        <v>0</v>
      </c>
      <c r="B359">
        <v>1</v>
      </c>
      <c r="C359">
        <v>0</v>
      </c>
      <c r="D359">
        <v>1042</v>
      </c>
    </row>
    <row r="360" spans="1:4" x14ac:dyDescent="0.25">
      <c r="A360">
        <v>3</v>
      </c>
      <c r="B360">
        <v>19</v>
      </c>
      <c r="C360">
        <v>65487</v>
      </c>
      <c r="D360">
        <v>6240</v>
      </c>
    </row>
    <row r="361" spans="1:4" x14ac:dyDescent="0.25">
      <c r="A361">
        <v>0</v>
      </c>
      <c r="B361">
        <v>6</v>
      </c>
      <c r="C361">
        <v>7158</v>
      </c>
      <c r="D361">
        <v>1859</v>
      </c>
    </row>
    <row r="362" spans="1:4" x14ac:dyDescent="0.25">
      <c r="A362">
        <v>5</v>
      </c>
      <c r="B362">
        <v>0</v>
      </c>
      <c r="C362">
        <v>0</v>
      </c>
      <c r="D362">
        <v>2085</v>
      </c>
    </row>
    <row r="363" spans="1:4" x14ac:dyDescent="0.25">
      <c r="A363">
        <v>1</v>
      </c>
      <c r="B363">
        <v>4</v>
      </c>
      <c r="C363">
        <v>40281</v>
      </c>
      <c r="D363">
        <v>1278</v>
      </c>
    </row>
    <row r="364" spans="1:4" x14ac:dyDescent="0.25">
      <c r="A364">
        <v>0</v>
      </c>
      <c r="B364">
        <v>2</v>
      </c>
      <c r="C364">
        <v>0</v>
      </c>
      <c r="D364">
        <v>295</v>
      </c>
    </row>
    <row r="365" spans="1:4" x14ac:dyDescent="0.25">
      <c r="A365">
        <v>1</v>
      </c>
      <c r="B365">
        <v>1</v>
      </c>
      <c r="C365">
        <v>39570</v>
      </c>
      <c r="D365">
        <v>1497</v>
      </c>
    </row>
    <row r="366" spans="1:4" x14ac:dyDescent="0.25">
      <c r="A366">
        <v>0</v>
      </c>
      <c r="B366">
        <v>20</v>
      </c>
      <c r="C366">
        <v>0</v>
      </c>
      <c r="D366">
        <v>2721</v>
      </c>
    </row>
    <row r="367" spans="1:4" x14ac:dyDescent="0.25">
      <c r="A367">
        <v>0</v>
      </c>
      <c r="B367">
        <v>3</v>
      </c>
      <c r="C367">
        <v>12345</v>
      </c>
      <c r="D367">
        <v>361</v>
      </c>
    </row>
    <row r="368" spans="1:4" x14ac:dyDescent="0.25">
      <c r="A368">
        <v>3</v>
      </c>
      <c r="B368">
        <v>3</v>
      </c>
      <c r="C368">
        <v>2967</v>
      </c>
      <c r="D368">
        <v>1838</v>
      </c>
    </row>
    <row r="369" spans="1:4" x14ac:dyDescent="0.25">
      <c r="A369">
        <v>0</v>
      </c>
      <c r="B369">
        <v>2</v>
      </c>
      <c r="C369">
        <v>10135</v>
      </c>
      <c r="D369">
        <v>0</v>
      </c>
    </row>
    <row r="370" spans="1:4" x14ac:dyDescent="0.25">
      <c r="A370">
        <v>1</v>
      </c>
      <c r="B370">
        <v>0</v>
      </c>
      <c r="C370">
        <v>0</v>
      </c>
      <c r="D370">
        <v>13105</v>
      </c>
    </row>
    <row r="371" spans="1:4" x14ac:dyDescent="0.25">
      <c r="A371">
        <v>0</v>
      </c>
      <c r="B371">
        <v>58</v>
      </c>
      <c r="C371">
        <v>0</v>
      </c>
      <c r="D371">
        <v>8052</v>
      </c>
    </row>
    <row r="372" spans="1:4" x14ac:dyDescent="0.25">
      <c r="A372">
        <v>46</v>
      </c>
      <c r="B372">
        <v>370</v>
      </c>
      <c r="C372">
        <v>3715551</v>
      </c>
      <c r="D372">
        <v>155112</v>
      </c>
    </row>
    <row r="373" spans="1:4" x14ac:dyDescent="0.25">
      <c r="A373">
        <v>52</v>
      </c>
      <c r="B373">
        <v>246</v>
      </c>
      <c r="C373">
        <v>2879154</v>
      </c>
      <c r="D373">
        <v>66177</v>
      </c>
    </row>
    <row r="374" spans="1:4" x14ac:dyDescent="0.25">
      <c r="A374">
        <v>0</v>
      </c>
      <c r="B374">
        <v>1</v>
      </c>
      <c r="C374">
        <v>2694</v>
      </c>
      <c r="D374">
        <v>897</v>
      </c>
    </row>
    <row r="375" spans="1:4" x14ac:dyDescent="0.25">
      <c r="A375">
        <v>4</v>
      </c>
      <c r="B375">
        <v>309</v>
      </c>
      <c r="C375">
        <v>32965</v>
      </c>
      <c r="D375">
        <v>166034</v>
      </c>
    </row>
    <row r="376" spans="1:4" x14ac:dyDescent="0.25">
      <c r="A376">
        <v>0</v>
      </c>
      <c r="B376">
        <v>1</v>
      </c>
      <c r="C376">
        <v>0</v>
      </c>
      <c r="D376">
        <v>14</v>
      </c>
    </row>
    <row r="377" spans="1:4" x14ac:dyDescent="0.25">
      <c r="A377">
        <v>0</v>
      </c>
      <c r="B377">
        <v>1</v>
      </c>
      <c r="C377">
        <v>0</v>
      </c>
      <c r="D377">
        <v>2190</v>
      </c>
    </row>
    <row r="378" spans="1:4" x14ac:dyDescent="0.25">
      <c r="A378">
        <v>0</v>
      </c>
      <c r="B378">
        <v>5</v>
      </c>
      <c r="C378">
        <v>17514</v>
      </c>
      <c r="D378">
        <v>0</v>
      </c>
    </row>
    <row r="379" spans="1:4" x14ac:dyDescent="0.25">
      <c r="A379">
        <v>0</v>
      </c>
      <c r="B379">
        <v>1</v>
      </c>
      <c r="C379">
        <v>0</v>
      </c>
      <c r="D379">
        <v>260</v>
      </c>
    </row>
    <row r="380" spans="1:4" x14ac:dyDescent="0.25">
      <c r="A380">
        <v>0</v>
      </c>
      <c r="B380">
        <v>5</v>
      </c>
      <c r="C380">
        <v>7475</v>
      </c>
      <c r="D380">
        <v>0</v>
      </c>
    </row>
    <row r="381" spans="1:4" x14ac:dyDescent="0.25">
      <c r="A381">
        <v>0</v>
      </c>
      <c r="B381">
        <v>10</v>
      </c>
      <c r="C381">
        <v>62710</v>
      </c>
      <c r="D381">
        <v>30</v>
      </c>
    </row>
    <row r="382" spans="1:4" x14ac:dyDescent="0.25">
      <c r="A382">
        <v>0</v>
      </c>
      <c r="B382">
        <v>1</v>
      </c>
      <c r="C382">
        <v>0</v>
      </c>
      <c r="D382">
        <v>15</v>
      </c>
    </row>
    <row r="383" spans="1:4" x14ac:dyDescent="0.25">
      <c r="A383">
        <v>0</v>
      </c>
      <c r="B383">
        <v>8</v>
      </c>
      <c r="C383">
        <v>130302</v>
      </c>
      <c r="D383">
        <v>11092</v>
      </c>
    </row>
    <row r="384" spans="1:4" x14ac:dyDescent="0.25">
      <c r="A384">
        <v>0</v>
      </c>
      <c r="B384">
        <v>5</v>
      </c>
      <c r="C384">
        <v>0</v>
      </c>
      <c r="D384">
        <v>1253</v>
      </c>
    </row>
    <row r="385" spans="1:4" x14ac:dyDescent="0.25">
      <c r="A385">
        <v>2</v>
      </c>
      <c r="B385">
        <v>1</v>
      </c>
      <c r="C385">
        <v>3895</v>
      </c>
      <c r="D385">
        <v>0</v>
      </c>
    </row>
    <row r="386" spans="1:4" x14ac:dyDescent="0.25">
      <c r="A386">
        <v>0</v>
      </c>
      <c r="B386">
        <v>5</v>
      </c>
      <c r="C386">
        <v>48181</v>
      </c>
      <c r="D386">
        <v>1511</v>
      </c>
    </row>
    <row r="387" spans="1:4" x14ac:dyDescent="0.25">
      <c r="A387">
        <v>0</v>
      </c>
      <c r="B387">
        <v>2</v>
      </c>
      <c r="C387">
        <v>6934</v>
      </c>
      <c r="D387">
        <v>1694</v>
      </c>
    </row>
    <row r="388" spans="1:4" x14ac:dyDescent="0.25">
      <c r="A388">
        <v>0</v>
      </c>
      <c r="B388">
        <v>6</v>
      </c>
      <c r="C388">
        <v>0</v>
      </c>
      <c r="D388">
        <v>49</v>
      </c>
    </row>
    <row r="389" spans="1:4" x14ac:dyDescent="0.25">
      <c r="A389">
        <v>1</v>
      </c>
      <c r="B389">
        <v>12</v>
      </c>
      <c r="C389">
        <v>48150</v>
      </c>
      <c r="D389">
        <v>10602</v>
      </c>
    </row>
    <row r="390" spans="1:4" x14ac:dyDescent="0.25">
      <c r="A390">
        <v>6</v>
      </c>
      <c r="B390">
        <v>33</v>
      </c>
      <c r="C390">
        <v>208363</v>
      </c>
      <c r="D390">
        <v>401</v>
      </c>
    </row>
    <row r="391" spans="1:4" x14ac:dyDescent="0.25">
      <c r="A391">
        <v>0</v>
      </c>
      <c r="B391">
        <v>1</v>
      </c>
      <c r="C391">
        <v>10402</v>
      </c>
      <c r="D391">
        <v>0</v>
      </c>
    </row>
    <row r="392" spans="1:4" x14ac:dyDescent="0.25">
      <c r="A392">
        <v>2</v>
      </c>
      <c r="B392">
        <v>19</v>
      </c>
      <c r="C392">
        <v>115958</v>
      </c>
      <c r="D392">
        <v>3228</v>
      </c>
    </row>
    <row r="393" spans="1:4" x14ac:dyDescent="0.25">
      <c r="A393">
        <v>0</v>
      </c>
      <c r="B393">
        <v>3</v>
      </c>
      <c r="C393">
        <v>0</v>
      </c>
      <c r="D393">
        <v>355</v>
      </c>
    </row>
    <row r="394" spans="1:4" x14ac:dyDescent="0.25">
      <c r="A394">
        <v>4</v>
      </c>
      <c r="B394">
        <v>30</v>
      </c>
      <c r="C394">
        <v>261289</v>
      </c>
      <c r="D394">
        <v>0</v>
      </c>
    </row>
    <row r="395" spans="1:4" x14ac:dyDescent="0.25">
      <c r="A395">
        <v>0</v>
      </c>
      <c r="B395">
        <v>1</v>
      </c>
      <c r="C395">
        <v>181</v>
      </c>
      <c r="D395">
        <v>0</v>
      </c>
    </row>
    <row r="396" spans="1:4" x14ac:dyDescent="0.25">
      <c r="A396">
        <v>0</v>
      </c>
      <c r="B396">
        <v>62</v>
      </c>
      <c r="C396">
        <v>0</v>
      </c>
      <c r="D396">
        <v>20194</v>
      </c>
    </row>
    <row r="397" spans="1:4" x14ac:dyDescent="0.25">
      <c r="A397">
        <v>0</v>
      </c>
      <c r="B397">
        <v>18</v>
      </c>
      <c r="C397">
        <v>0</v>
      </c>
      <c r="D397">
        <v>2245</v>
      </c>
    </row>
    <row r="398" spans="1:4" x14ac:dyDescent="0.25">
      <c r="A398">
        <v>0</v>
      </c>
      <c r="B398">
        <v>29</v>
      </c>
      <c r="C398">
        <v>18528</v>
      </c>
      <c r="D398">
        <v>2505</v>
      </c>
    </row>
    <row r="399" spans="1:4" x14ac:dyDescent="0.25">
      <c r="A399">
        <v>0</v>
      </c>
      <c r="B399">
        <v>1</v>
      </c>
      <c r="C399">
        <v>10444</v>
      </c>
      <c r="D399">
        <v>0</v>
      </c>
    </row>
    <row r="400" spans="1:4" x14ac:dyDescent="0.25">
      <c r="A400">
        <v>0</v>
      </c>
      <c r="B400">
        <v>3</v>
      </c>
      <c r="C400">
        <v>1930</v>
      </c>
      <c r="D400">
        <v>4491</v>
      </c>
    </row>
    <row r="401" spans="1:4" x14ac:dyDescent="0.25">
      <c r="A401">
        <v>2</v>
      </c>
      <c r="B401">
        <v>8</v>
      </c>
      <c r="C401">
        <v>37580</v>
      </c>
      <c r="D401">
        <v>216</v>
      </c>
    </row>
    <row r="402" spans="1:4" x14ac:dyDescent="0.25">
      <c r="A402">
        <v>6</v>
      </c>
      <c r="B402">
        <v>4</v>
      </c>
      <c r="C402">
        <v>140844</v>
      </c>
      <c r="D402">
        <v>1338</v>
      </c>
    </row>
    <row r="403" spans="1:4" x14ac:dyDescent="0.25">
      <c r="A403">
        <v>0</v>
      </c>
      <c r="B403">
        <v>4</v>
      </c>
      <c r="C403">
        <v>0</v>
      </c>
      <c r="D403">
        <v>5974</v>
      </c>
    </row>
    <row r="404" spans="1:4" x14ac:dyDescent="0.25">
      <c r="A404">
        <v>1</v>
      </c>
      <c r="B404">
        <v>8</v>
      </c>
      <c r="C404">
        <v>12486</v>
      </c>
      <c r="D404">
        <v>9098</v>
      </c>
    </row>
    <row r="405" spans="1:4" x14ac:dyDescent="0.25">
      <c r="A405">
        <v>0</v>
      </c>
      <c r="B405">
        <v>2</v>
      </c>
      <c r="C405">
        <v>4309</v>
      </c>
      <c r="D405">
        <v>286</v>
      </c>
    </row>
    <row r="406" spans="1:4" x14ac:dyDescent="0.25">
      <c r="A406">
        <v>0</v>
      </c>
      <c r="B406">
        <v>1</v>
      </c>
      <c r="C406">
        <v>0</v>
      </c>
      <c r="D406">
        <v>272</v>
      </c>
    </row>
    <row r="407" spans="1:4" x14ac:dyDescent="0.25">
      <c r="A407">
        <v>312</v>
      </c>
      <c r="B407">
        <v>129</v>
      </c>
      <c r="C407">
        <v>51211785</v>
      </c>
      <c r="D407">
        <v>13572159</v>
      </c>
    </row>
  </sheetData>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4D94C0-C772-46FF-8523-0E9D5C747552}">
  <sheetPr codeName="Sheet6"/>
  <dimension ref="A2:P66"/>
  <sheetViews>
    <sheetView workbookViewId="0">
      <pane ySplit="3" topLeftCell="A10" activePane="bottomLeft" state="frozen"/>
      <selection pane="bottomLeft" activeCell="G34" sqref="G34"/>
    </sheetView>
  </sheetViews>
  <sheetFormatPr defaultRowHeight="15" x14ac:dyDescent="0.25"/>
  <cols>
    <col min="2" max="2" width="14.28515625" style="21" customWidth="1"/>
    <col min="3" max="3" width="37.28515625" customWidth="1"/>
    <col min="4" max="4" width="14.85546875" customWidth="1"/>
    <col min="5" max="5" width="13.85546875" style="57" customWidth="1"/>
    <col min="6" max="6" width="15.85546875" style="59" customWidth="1"/>
    <col min="7" max="7" width="16.5703125" style="35" customWidth="1"/>
    <col min="8" max="8" width="18.140625" customWidth="1"/>
    <col min="14" max="14" width="32.85546875" customWidth="1"/>
    <col min="15" max="15" width="15.85546875" bestFit="1" customWidth="1"/>
    <col min="16" max="16" width="18.5703125" bestFit="1" customWidth="1"/>
  </cols>
  <sheetData>
    <row r="2" spans="2:16" ht="18.75" x14ac:dyDescent="0.25">
      <c r="C2" s="326" t="s">
        <v>4451</v>
      </c>
      <c r="D2" s="326"/>
      <c r="E2" s="326"/>
      <c r="F2" s="326"/>
      <c r="G2" s="40"/>
    </row>
    <row r="3" spans="2:16" ht="66.75" customHeight="1" x14ac:dyDescent="0.25">
      <c r="B3" s="52" t="s">
        <v>4410</v>
      </c>
      <c r="C3" s="52" t="s">
        <v>4411</v>
      </c>
      <c r="D3" s="52" t="s">
        <v>4412</v>
      </c>
      <c r="E3" s="53" t="s">
        <v>4426</v>
      </c>
      <c r="F3" s="58" t="s">
        <v>4413</v>
      </c>
      <c r="G3" s="52" t="s">
        <v>4431</v>
      </c>
      <c r="H3" s="52" t="s">
        <v>4433</v>
      </c>
      <c r="N3" s="85" t="s">
        <v>4437</v>
      </c>
      <c r="O3" s="84"/>
    </row>
    <row r="4" spans="2:16" s="28" customFormat="1" x14ac:dyDescent="0.25">
      <c r="B4" s="42">
        <v>113110</v>
      </c>
      <c r="C4" s="43" t="s">
        <v>839</v>
      </c>
      <c r="D4" s="62">
        <v>12</v>
      </c>
      <c r="E4" s="54">
        <f>D4*1000000</f>
        <v>12000000</v>
      </c>
      <c r="F4" s="66"/>
      <c r="G4" s="44" t="s">
        <v>4436</v>
      </c>
      <c r="H4" s="45"/>
      <c r="N4" s="45" t="s">
        <v>4447</v>
      </c>
      <c r="O4" s="81">
        <v>0</v>
      </c>
      <c r="P4" s="79"/>
    </row>
    <row r="5" spans="2:16" ht="15.75" x14ac:dyDescent="0.25">
      <c r="B5" s="46">
        <v>211120</v>
      </c>
      <c r="C5" s="47" t="s">
        <v>104</v>
      </c>
      <c r="D5" s="63"/>
      <c r="E5" s="55"/>
      <c r="F5" s="67">
        <v>1250</v>
      </c>
      <c r="G5" s="48" t="s">
        <v>4432</v>
      </c>
      <c r="H5" s="49"/>
      <c r="N5" s="82" t="s">
        <v>4438</v>
      </c>
      <c r="O5" s="83">
        <v>50001</v>
      </c>
      <c r="P5" s="57"/>
    </row>
    <row r="6" spans="2:16" x14ac:dyDescent="0.25">
      <c r="B6" s="46">
        <v>213111</v>
      </c>
      <c r="C6" s="50" t="s">
        <v>518</v>
      </c>
      <c r="D6" s="64"/>
      <c r="E6" s="56"/>
      <c r="F6" s="66">
        <v>1000</v>
      </c>
      <c r="G6" s="48" t="s">
        <v>4432</v>
      </c>
      <c r="H6" s="41"/>
      <c r="N6" s="41" t="s">
        <v>4439</v>
      </c>
      <c r="O6" s="83">
        <v>100001</v>
      </c>
      <c r="P6" s="57"/>
    </row>
    <row r="7" spans="2:16" ht="30" x14ac:dyDescent="0.25">
      <c r="B7" s="46">
        <v>213112</v>
      </c>
      <c r="C7" s="50" t="s">
        <v>74</v>
      </c>
      <c r="D7" s="62">
        <v>41.5</v>
      </c>
      <c r="E7" s="54">
        <f>D7*1000000</f>
        <v>41500000</v>
      </c>
      <c r="F7" s="66"/>
      <c r="G7" s="44" t="s">
        <v>4436</v>
      </c>
      <c r="H7" s="41"/>
      <c r="N7" s="41" t="s">
        <v>4440</v>
      </c>
      <c r="O7" s="83">
        <v>500001</v>
      </c>
      <c r="P7" s="57"/>
    </row>
    <row r="8" spans="2:16" x14ac:dyDescent="0.25">
      <c r="B8" s="46">
        <v>221118</v>
      </c>
      <c r="C8" s="50" t="s">
        <v>1238</v>
      </c>
      <c r="D8" s="62"/>
      <c r="E8" s="54"/>
      <c r="F8" s="66">
        <v>250</v>
      </c>
      <c r="G8" s="48" t="s">
        <v>4432</v>
      </c>
      <c r="H8" s="41"/>
      <c r="N8" s="41" t="s">
        <v>4441</v>
      </c>
      <c r="O8" s="83">
        <v>1000001</v>
      </c>
      <c r="P8" s="57"/>
    </row>
    <row r="9" spans="2:16" x14ac:dyDescent="0.25">
      <c r="B9" s="46">
        <v>221122</v>
      </c>
      <c r="C9" s="50" t="s">
        <v>3500</v>
      </c>
      <c r="D9" s="62"/>
      <c r="E9" s="54"/>
      <c r="F9" s="66">
        <v>1000</v>
      </c>
      <c r="G9" s="48" t="s">
        <v>4432</v>
      </c>
      <c r="H9" s="41"/>
      <c r="N9" s="41" t="s">
        <v>4442</v>
      </c>
      <c r="O9" s="83">
        <v>5000001</v>
      </c>
      <c r="P9" s="57"/>
    </row>
    <row r="10" spans="2:16" x14ac:dyDescent="0.25">
      <c r="B10" s="46">
        <v>221210</v>
      </c>
      <c r="C10" s="50" t="s">
        <v>166</v>
      </c>
      <c r="D10" s="62"/>
      <c r="E10" s="54"/>
      <c r="F10" s="66">
        <v>1000</v>
      </c>
      <c r="G10" s="48" t="s">
        <v>4432</v>
      </c>
      <c r="H10" s="41"/>
      <c r="N10" s="41" t="s">
        <v>4443</v>
      </c>
      <c r="O10" s="83">
        <v>100000001</v>
      </c>
      <c r="P10" s="57"/>
    </row>
    <row r="11" spans="2:16" x14ac:dyDescent="0.25">
      <c r="B11" s="46">
        <v>236117</v>
      </c>
      <c r="C11" s="50" t="s">
        <v>1070</v>
      </c>
      <c r="D11" s="62">
        <v>39.5</v>
      </c>
      <c r="E11" s="54">
        <f t="shared" ref="E11:E12" si="0">D11*1000000</f>
        <v>39500000</v>
      </c>
      <c r="F11" s="66"/>
      <c r="G11" s="44" t="s">
        <v>4436</v>
      </c>
      <c r="H11" s="41"/>
      <c r="N11" s="41" t="s">
        <v>4444</v>
      </c>
      <c r="O11" s="83">
        <v>1000000001</v>
      </c>
      <c r="P11" s="57"/>
    </row>
    <row r="12" spans="2:16" ht="30" x14ac:dyDescent="0.25">
      <c r="B12" s="46">
        <v>237120</v>
      </c>
      <c r="C12" s="50" t="s">
        <v>413</v>
      </c>
      <c r="D12" s="62">
        <v>39.5</v>
      </c>
      <c r="E12" s="54">
        <f t="shared" si="0"/>
        <v>39500000</v>
      </c>
      <c r="F12" s="66"/>
      <c r="G12" s="44" t="s">
        <v>4436</v>
      </c>
      <c r="H12" s="41"/>
      <c r="N12" s="41" t="s">
        <v>4445</v>
      </c>
      <c r="O12" s="83">
        <v>125000000001</v>
      </c>
      <c r="P12" s="57"/>
    </row>
    <row r="13" spans="2:16" ht="17.25" x14ac:dyDescent="0.25">
      <c r="B13" s="46">
        <v>324110</v>
      </c>
      <c r="C13" s="50" t="s">
        <v>4422</v>
      </c>
      <c r="D13" s="64"/>
      <c r="E13" s="56"/>
      <c r="F13" s="66">
        <v>1500</v>
      </c>
      <c r="G13" s="48" t="s">
        <v>4432</v>
      </c>
      <c r="H13" s="51" t="s">
        <v>4414</v>
      </c>
    </row>
    <row r="14" spans="2:16" ht="30" x14ac:dyDescent="0.25">
      <c r="B14" s="46">
        <v>324191</v>
      </c>
      <c r="C14" s="50" t="s">
        <v>2148</v>
      </c>
      <c r="D14" s="64"/>
      <c r="E14" s="56"/>
      <c r="F14" s="66">
        <v>750</v>
      </c>
      <c r="G14" s="48" t="s">
        <v>4432</v>
      </c>
      <c r="H14" s="49"/>
    </row>
    <row r="15" spans="2:16" ht="30" x14ac:dyDescent="0.25">
      <c r="B15" s="46">
        <v>333132</v>
      </c>
      <c r="C15" s="50" t="s">
        <v>1908</v>
      </c>
      <c r="D15" s="64"/>
      <c r="E15" s="56"/>
      <c r="F15" s="66">
        <v>1250</v>
      </c>
      <c r="G15" s="48" t="s">
        <v>4432</v>
      </c>
      <c r="H15" s="41"/>
    </row>
    <row r="16" spans="2:16" x14ac:dyDescent="0.25">
      <c r="B16" s="46">
        <v>336611</v>
      </c>
      <c r="C16" s="50" t="s">
        <v>1980</v>
      </c>
      <c r="D16" s="64"/>
      <c r="E16" s="56"/>
      <c r="F16" s="66">
        <v>1250</v>
      </c>
      <c r="G16" s="48" t="s">
        <v>4432</v>
      </c>
      <c r="H16" s="41"/>
    </row>
    <row r="17" spans="2:8" ht="30" x14ac:dyDescent="0.25">
      <c r="B17" s="46">
        <v>423830</v>
      </c>
      <c r="C17" s="50" t="s">
        <v>1252</v>
      </c>
      <c r="D17" s="64"/>
      <c r="E17" s="56"/>
      <c r="F17" s="66">
        <v>100</v>
      </c>
      <c r="G17" s="48" t="s">
        <v>4432</v>
      </c>
      <c r="H17" s="41"/>
    </row>
    <row r="18" spans="2:8" x14ac:dyDescent="0.25">
      <c r="B18" s="46">
        <v>424520</v>
      </c>
      <c r="C18" s="50" t="s">
        <v>1372</v>
      </c>
      <c r="D18" s="64"/>
      <c r="E18" s="56"/>
      <c r="F18" s="66">
        <v>100</v>
      </c>
      <c r="G18" s="48" t="s">
        <v>4432</v>
      </c>
      <c r="H18" s="41"/>
    </row>
    <row r="19" spans="2:8" ht="30" x14ac:dyDescent="0.25">
      <c r="B19" s="46">
        <v>424590</v>
      </c>
      <c r="C19" s="50" t="s">
        <v>2254</v>
      </c>
      <c r="D19" s="64"/>
      <c r="E19" s="56"/>
      <c r="F19" s="66">
        <v>100</v>
      </c>
      <c r="G19" s="48" t="s">
        <v>4432</v>
      </c>
      <c r="H19" s="41"/>
    </row>
    <row r="20" spans="2:8" ht="30" x14ac:dyDescent="0.25">
      <c r="B20" s="46">
        <v>424690</v>
      </c>
      <c r="C20" s="50" t="s">
        <v>2301</v>
      </c>
      <c r="D20" s="64"/>
      <c r="E20" s="56"/>
      <c r="F20" s="66">
        <v>150</v>
      </c>
      <c r="G20" s="48" t="s">
        <v>4432</v>
      </c>
      <c r="H20" s="41"/>
    </row>
    <row r="21" spans="2:8" x14ac:dyDescent="0.25">
      <c r="B21" s="46">
        <v>424710</v>
      </c>
      <c r="C21" s="50" t="s">
        <v>858</v>
      </c>
      <c r="D21" s="64"/>
      <c r="E21" s="56"/>
      <c r="F21" s="66">
        <v>200</v>
      </c>
      <c r="G21" s="48" t="s">
        <v>4432</v>
      </c>
      <c r="H21" s="41"/>
    </row>
    <row r="22" spans="2:8" ht="45" x14ac:dyDescent="0.25">
      <c r="B22" s="46">
        <v>424720</v>
      </c>
      <c r="C22" s="50" t="s">
        <v>827</v>
      </c>
      <c r="D22" s="64"/>
      <c r="E22" s="56"/>
      <c r="F22" s="66">
        <v>200</v>
      </c>
      <c r="G22" s="48" t="s">
        <v>4432</v>
      </c>
      <c r="H22" s="41"/>
    </row>
    <row r="23" spans="2:8" ht="30" x14ac:dyDescent="0.25">
      <c r="B23" s="46">
        <v>445110</v>
      </c>
      <c r="C23" s="50" t="s">
        <v>582</v>
      </c>
      <c r="D23" s="62">
        <v>35</v>
      </c>
      <c r="E23" s="54">
        <f t="shared" ref="E23:E57" si="1">D23*1000000</f>
        <v>35000000</v>
      </c>
      <c r="F23" s="66"/>
      <c r="G23" s="44" t="s">
        <v>4436</v>
      </c>
      <c r="H23" s="41"/>
    </row>
    <row r="24" spans="2:8" x14ac:dyDescent="0.25">
      <c r="B24" s="46">
        <v>445120</v>
      </c>
      <c r="C24" s="50" t="s">
        <v>897</v>
      </c>
      <c r="D24" s="62">
        <v>32</v>
      </c>
      <c r="E24" s="54">
        <f t="shared" si="1"/>
        <v>32000000</v>
      </c>
      <c r="F24" s="66"/>
      <c r="G24" s="44" t="s">
        <v>4436</v>
      </c>
      <c r="H24" s="41"/>
    </row>
    <row r="25" spans="2:8" x14ac:dyDescent="0.25">
      <c r="B25" s="46">
        <v>447190</v>
      </c>
      <c r="C25" s="50" t="s">
        <v>256</v>
      </c>
      <c r="D25" s="62">
        <v>16.5</v>
      </c>
      <c r="E25" s="54">
        <f t="shared" si="1"/>
        <v>16500000</v>
      </c>
      <c r="F25" s="66"/>
      <c r="G25" s="44" t="s">
        <v>4436</v>
      </c>
      <c r="H25" s="41"/>
    </row>
    <row r="26" spans="2:8" x14ac:dyDescent="0.25">
      <c r="B26" s="46">
        <v>454310</v>
      </c>
      <c r="C26" s="50" t="s">
        <v>193</v>
      </c>
      <c r="D26" s="62"/>
      <c r="E26" s="54"/>
      <c r="F26" s="66">
        <v>100</v>
      </c>
      <c r="G26" s="48" t="s">
        <v>4432</v>
      </c>
      <c r="H26" s="41"/>
    </row>
    <row r="27" spans="2:8" x14ac:dyDescent="0.25">
      <c r="B27" s="46">
        <v>484110</v>
      </c>
      <c r="C27" s="50" t="s">
        <v>1828</v>
      </c>
      <c r="D27" s="62">
        <v>30</v>
      </c>
      <c r="E27" s="54">
        <f t="shared" si="1"/>
        <v>30000000</v>
      </c>
      <c r="F27" s="66"/>
      <c r="G27" s="44" t="s">
        <v>4436</v>
      </c>
      <c r="H27" s="41"/>
    </row>
    <row r="28" spans="2:8" x14ac:dyDescent="0.25">
      <c r="B28" s="46">
        <v>486110</v>
      </c>
      <c r="C28" s="50" t="s">
        <v>1394</v>
      </c>
      <c r="D28" s="62"/>
      <c r="E28" s="54"/>
      <c r="F28" s="66">
        <v>1500</v>
      </c>
      <c r="G28" s="48" t="s">
        <v>4432</v>
      </c>
      <c r="H28" s="41"/>
    </row>
    <row r="29" spans="2:8" x14ac:dyDescent="0.25">
      <c r="B29" s="46">
        <v>486210</v>
      </c>
      <c r="C29" s="50" t="s">
        <v>1029</v>
      </c>
      <c r="D29" s="62">
        <v>30</v>
      </c>
      <c r="E29" s="54">
        <f t="shared" si="1"/>
        <v>30000000</v>
      </c>
      <c r="F29" s="66"/>
      <c r="G29" s="44" t="s">
        <v>4436</v>
      </c>
      <c r="H29" s="41"/>
    </row>
    <row r="30" spans="2:8" ht="30" x14ac:dyDescent="0.25">
      <c r="B30" s="46">
        <v>488999</v>
      </c>
      <c r="C30" s="50" t="s">
        <v>1156</v>
      </c>
      <c r="D30" s="62">
        <v>8</v>
      </c>
      <c r="E30" s="54">
        <f t="shared" si="1"/>
        <v>8000000</v>
      </c>
      <c r="F30" s="66"/>
      <c r="G30" s="44" t="s">
        <v>4436</v>
      </c>
      <c r="H30" s="41"/>
    </row>
    <row r="31" spans="2:8" x14ac:dyDescent="0.25">
      <c r="B31" s="46">
        <v>512110</v>
      </c>
      <c r="C31" s="50" t="s">
        <v>734</v>
      </c>
      <c r="D31" s="62">
        <v>35</v>
      </c>
      <c r="E31" s="54">
        <f t="shared" si="1"/>
        <v>35000000</v>
      </c>
      <c r="F31" s="66"/>
      <c r="G31" s="44" t="s">
        <v>4436</v>
      </c>
      <c r="H31" s="41"/>
    </row>
    <row r="32" spans="2:8" x14ac:dyDescent="0.25">
      <c r="B32" s="46">
        <v>512120</v>
      </c>
      <c r="C32" s="50" t="s">
        <v>2669</v>
      </c>
      <c r="D32" s="62">
        <v>34.5</v>
      </c>
      <c r="E32" s="54">
        <f t="shared" si="1"/>
        <v>34500000</v>
      </c>
      <c r="F32" s="66"/>
      <c r="G32" s="44" t="s">
        <v>4436</v>
      </c>
      <c r="H32" s="41"/>
    </row>
    <row r="33" spans="2:8" ht="31.5" x14ac:dyDescent="0.25">
      <c r="B33" s="46">
        <v>517312</v>
      </c>
      <c r="C33" s="129" t="s">
        <v>5077</v>
      </c>
      <c r="D33" s="130"/>
      <c r="F33" s="131">
        <v>1500</v>
      </c>
      <c r="G33" s="44" t="s">
        <v>4432</v>
      </c>
      <c r="H33" s="41"/>
    </row>
    <row r="34" spans="2:8" x14ac:dyDescent="0.25">
      <c r="B34" s="46">
        <v>523120</v>
      </c>
      <c r="C34" s="50" t="s">
        <v>4241</v>
      </c>
      <c r="D34" s="62">
        <v>41.5</v>
      </c>
      <c r="E34" s="54">
        <f t="shared" si="1"/>
        <v>41500000</v>
      </c>
      <c r="F34" s="66"/>
      <c r="G34" s="44" t="s">
        <v>4436</v>
      </c>
      <c r="H34" s="41"/>
    </row>
    <row r="35" spans="2:8" x14ac:dyDescent="0.25">
      <c r="B35" s="46">
        <v>523910</v>
      </c>
      <c r="C35" s="50" t="s">
        <v>3237</v>
      </c>
      <c r="D35" s="62">
        <v>41.5</v>
      </c>
      <c r="E35" s="54">
        <f t="shared" si="1"/>
        <v>41500000</v>
      </c>
      <c r="F35" s="66"/>
      <c r="G35" s="44" t="s">
        <v>4436</v>
      </c>
      <c r="H35" s="41"/>
    </row>
    <row r="36" spans="2:8" x14ac:dyDescent="0.25">
      <c r="B36" s="46">
        <v>523930</v>
      </c>
      <c r="C36" s="50" t="s">
        <v>3316</v>
      </c>
      <c r="D36" s="62">
        <v>41.5</v>
      </c>
      <c r="E36" s="54">
        <f t="shared" si="1"/>
        <v>41500000</v>
      </c>
      <c r="F36" s="66"/>
      <c r="G36" s="44" t="s">
        <v>4436</v>
      </c>
      <c r="H36" s="41"/>
    </row>
    <row r="37" spans="2:8" x14ac:dyDescent="0.25">
      <c r="B37" s="46">
        <v>523991</v>
      </c>
      <c r="C37" s="50" t="s">
        <v>4416</v>
      </c>
      <c r="D37" s="62">
        <v>41.5</v>
      </c>
      <c r="E37" s="54">
        <f t="shared" si="1"/>
        <v>41500000</v>
      </c>
      <c r="F37" s="66"/>
      <c r="G37" s="44" t="s">
        <v>4436</v>
      </c>
      <c r="H37" s="41"/>
    </row>
    <row r="38" spans="2:8" ht="30" x14ac:dyDescent="0.25">
      <c r="B38" s="46">
        <v>523999</v>
      </c>
      <c r="C38" s="50" t="s">
        <v>105</v>
      </c>
      <c r="D38" s="62">
        <v>41.5</v>
      </c>
      <c r="E38" s="54">
        <f t="shared" si="1"/>
        <v>41500000</v>
      </c>
      <c r="F38" s="66"/>
      <c r="G38" s="44" t="s">
        <v>4436</v>
      </c>
      <c r="H38" s="41"/>
    </row>
    <row r="39" spans="2:8" x14ac:dyDescent="0.25">
      <c r="B39" s="46">
        <v>525990</v>
      </c>
      <c r="C39" s="50" t="s">
        <v>811</v>
      </c>
      <c r="D39" s="62">
        <v>35</v>
      </c>
      <c r="E39" s="54">
        <f t="shared" si="1"/>
        <v>35000000</v>
      </c>
      <c r="F39" s="66"/>
      <c r="G39" s="44" t="s">
        <v>4436</v>
      </c>
      <c r="H39" s="41"/>
    </row>
    <row r="40" spans="2:8" ht="32.25" x14ac:dyDescent="0.25">
      <c r="B40" s="46">
        <v>531110</v>
      </c>
      <c r="C40" s="50" t="s">
        <v>4423</v>
      </c>
      <c r="D40" s="62">
        <v>30</v>
      </c>
      <c r="E40" s="54">
        <f t="shared" si="1"/>
        <v>30000000</v>
      </c>
      <c r="F40" s="66"/>
      <c r="G40" s="44" t="s">
        <v>4436</v>
      </c>
      <c r="H40" s="51" t="s">
        <v>4417</v>
      </c>
    </row>
    <row r="41" spans="2:8" ht="17.25" x14ac:dyDescent="0.25">
      <c r="B41" s="46">
        <v>531190</v>
      </c>
      <c r="C41" s="50" t="s">
        <v>4424</v>
      </c>
      <c r="D41" s="62">
        <v>30</v>
      </c>
      <c r="E41" s="54">
        <f t="shared" si="1"/>
        <v>30000000</v>
      </c>
      <c r="F41" s="66"/>
      <c r="G41" s="44" t="s">
        <v>4436</v>
      </c>
      <c r="H41" s="51" t="s">
        <v>4417</v>
      </c>
    </row>
    <row r="42" spans="2:8" ht="32.25" x14ac:dyDescent="0.25">
      <c r="B42" s="46">
        <v>531210</v>
      </c>
      <c r="C42" s="50" t="s">
        <v>4425</v>
      </c>
      <c r="D42" s="62">
        <v>8</v>
      </c>
      <c r="E42" s="54">
        <f t="shared" si="1"/>
        <v>8000000</v>
      </c>
      <c r="F42" s="66"/>
      <c r="G42" s="44" t="s">
        <v>4436</v>
      </c>
      <c r="H42" s="51" t="s">
        <v>4419</v>
      </c>
    </row>
    <row r="43" spans="2:8" x14ac:dyDescent="0.25">
      <c r="B43" s="46">
        <v>531312</v>
      </c>
      <c r="C43" s="50" t="s">
        <v>234</v>
      </c>
      <c r="D43" s="62">
        <v>8</v>
      </c>
      <c r="E43" s="54">
        <f t="shared" si="1"/>
        <v>8000000</v>
      </c>
      <c r="F43" s="66"/>
      <c r="G43" s="44" t="s">
        <v>4436</v>
      </c>
      <c r="H43" s="41"/>
    </row>
    <row r="44" spans="2:8" x14ac:dyDescent="0.25">
      <c r="B44" s="46">
        <v>532289</v>
      </c>
      <c r="C44" s="47" t="s">
        <v>763</v>
      </c>
      <c r="D44" s="65">
        <v>8</v>
      </c>
      <c r="E44" s="54">
        <f t="shared" si="1"/>
        <v>8000000</v>
      </c>
      <c r="F44" s="68"/>
      <c r="G44" s="44" t="s">
        <v>4436</v>
      </c>
      <c r="H44" s="41"/>
    </row>
    <row r="45" spans="2:8" ht="30" x14ac:dyDescent="0.25">
      <c r="B45" s="46">
        <v>533110</v>
      </c>
      <c r="C45" s="50" t="s">
        <v>1449</v>
      </c>
      <c r="D45" s="62">
        <v>41.5</v>
      </c>
      <c r="E45" s="54">
        <f t="shared" si="1"/>
        <v>41500000</v>
      </c>
      <c r="F45" s="66"/>
      <c r="G45" s="44" t="s">
        <v>4436</v>
      </c>
      <c r="H45" s="41"/>
    </row>
    <row r="46" spans="2:8" x14ac:dyDescent="0.25">
      <c r="B46" s="46">
        <v>541110</v>
      </c>
      <c r="C46" s="50" t="s">
        <v>3638</v>
      </c>
      <c r="D46" s="62">
        <v>12</v>
      </c>
      <c r="E46" s="54">
        <f t="shared" si="1"/>
        <v>12000000</v>
      </c>
      <c r="F46" s="66"/>
      <c r="G46" s="44" t="s">
        <v>4436</v>
      </c>
      <c r="H46" s="41"/>
    </row>
    <row r="47" spans="2:8" x14ac:dyDescent="0.25">
      <c r="B47" s="46">
        <v>541330</v>
      </c>
      <c r="C47" s="50" t="s">
        <v>507</v>
      </c>
      <c r="D47" s="62">
        <v>16.5</v>
      </c>
      <c r="E47" s="54">
        <f t="shared" si="1"/>
        <v>16500000</v>
      </c>
      <c r="F47" s="66"/>
      <c r="G47" s="44" t="s">
        <v>4436</v>
      </c>
      <c r="H47" s="41"/>
    </row>
    <row r="48" spans="2:8" ht="45" x14ac:dyDescent="0.25">
      <c r="B48" s="46">
        <v>541611</v>
      </c>
      <c r="C48" s="50" t="s">
        <v>510</v>
      </c>
      <c r="D48" s="62">
        <v>16.5</v>
      </c>
      <c r="E48" s="54">
        <f t="shared" si="1"/>
        <v>16500000</v>
      </c>
      <c r="F48" s="66"/>
      <c r="G48" s="44" t="s">
        <v>4436</v>
      </c>
      <c r="H48" s="41"/>
    </row>
    <row r="49" spans="1:8" ht="30" x14ac:dyDescent="0.25">
      <c r="B49" s="46">
        <v>541618</v>
      </c>
      <c r="C49" s="50" t="s">
        <v>659</v>
      </c>
      <c r="D49" s="62">
        <v>16.5</v>
      </c>
      <c r="E49" s="54">
        <f t="shared" si="1"/>
        <v>16500000</v>
      </c>
      <c r="F49" s="66"/>
      <c r="G49" s="44" t="s">
        <v>4436</v>
      </c>
      <c r="H49" s="41"/>
    </row>
    <row r="50" spans="1:8" ht="30" x14ac:dyDescent="0.25">
      <c r="B50" s="46">
        <v>541690</v>
      </c>
      <c r="C50" s="50" t="s">
        <v>4421</v>
      </c>
      <c r="D50" s="62">
        <v>16.5</v>
      </c>
      <c r="E50" s="54">
        <f t="shared" si="1"/>
        <v>16500000</v>
      </c>
      <c r="F50" s="66"/>
      <c r="G50" s="44" t="s">
        <v>4436</v>
      </c>
      <c r="H50" s="41"/>
    </row>
    <row r="51" spans="1:8" x14ac:dyDescent="0.25">
      <c r="B51" s="46">
        <v>551112</v>
      </c>
      <c r="C51" s="50" t="s">
        <v>1411</v>
      </c>
      <c r="D51" s="62">
        <v>22</v>
      </c>
      <c r="E51" s="54">
        <f t="shared" si="1"/>
        <v>22000000</v>
      </c>
      <c r="F51" s="66"/>
      <c r="G51" s="44" t="s">
        <v>4436</v>
      </c>
      <c r="H51" s="41"/>
    </row>
    <row r="52" spans="1:8" x14ac:dyDescent="0.25">
      <c r="B52" s="46">
        <v>561110</v>
      </c>
      <c r="C52" s="50" t="s">
        <v>497</v>
      </c>
      <c r="D52" s="62">
        <v>8</v>
      </c>
      <c r="E52" s="54">
        <f t="shared" si="1"/>
        <v>8000000</v>
      </c>
      <c r="F52" s="66"/>
      <c r="G52" s="44" t="s">
        <v>4436</v>
      </c>
      <c r="H52" s="41"/>
    </row>
    <row r="53" spans="1:8" x14ac:dyDescent="0.25">
      <c r="B53" s="46">
        <v>561499</v>
      </c>
      <c r="C53" s="50" t="s">
        <v>1303</v>
      </c>
      <c r="D53" s="62">
        <v>16.5</v>
      </c>
      <c r="E53" s="54">
        <f t="shared" si="1"/>
        <v>16500000</v>
      </c>
      <c r="F53" s="66"/>
      <c r="G53" s="44" t="s">
        <v>4436</v>
      </c>
      <c r="H53" s="41"/>
    </row>
    <row r="54" spans="1:8" x14ac:dyDescent="0.25">
      <c r="B54" s="46">
        <v>561990</v>
      </c>
      <c r="C54" s="50" t="s">
        <v>1936</v>
      </c>
      <c r="D54" s="62">
        <v>12</v>
      </c>
      <c r="E54" s="54">
        <f t="shared" si="1"/>
        <v>12000000</v>
      </c>
      <c r="F54" s="66"/>
      <c r="G54" s="44" t="s">
        <v>4436</v>
      </c>
      <c r="H54" s="41"/>
    </row>
    <row r="55" spans="1:8" x14ac:dyDescent="0.25">
      <c r="B55" s="46">
        <v>722410</v>
      </c>
      <c r="C55" s="50" t="s">
        <v>288</v>
      </c>
      <c r="D55" s="62">
        <v>8</v>
      </c>
      <c r="E55" s="54">
        <f t="shared" si="1"/>
        <v>8000000</v>
      </c>
      <c r="F55" s="66"/>
      <c r="G55" s="44" t="s">
        <v>4436</v>
      </c>
      <c r="H55" s="41"/>
    </row>
    <row r="56" spans="1:8" ht="60" x14ac:dyDescent="0.25">
      <c r="B56" s="46">
        <v>811310</v>
      </c>
      <c r="C56" s="50" t="s">
        <v>764</v>
      </c>
      <c r="D56" s="62">
        <v>8</v>
      </c>
      <c r="E56" s="54">
        <f t="shared" si="1"/>
        <v>8000000</v>
      </c>
      <c r="F56" s="66"/>
      <c r="G56" s="44" t="s">
        <v>4436</v>
      </c>
      <c r="H56" s="41"/>
    </row>
    <row r="57" spans="1:8" x14ac:dyDescent="0.25">
      <c r="B57" s="46">
        <v>811412</v>
      </c>
      <c r="C57" s="50" t="s">
        <v>917</v>
      </c>
      <c r="D57" s="62">
        <v>16.5</v>
      </c>
      <c r="E57" s="54">
        <f t="shared" si="1"/>
        <v>16500000</v>
      </c>
      <c r="F57" s="66"/>
      <c r="G57" s="44" t="s">
        <v>4436</v>
      </c>
      <c r="H57" s="41"/>
    </row>
    <row r="60" spans="1:8" x14ac:dyDescent="0.25">
      <c r="A60" s="36" t="s">
        <v>4452</v>
      </c>
    </row>
    <row r="61" spans="1:8" x14ac:dyDescent="0.25">
      <c r="A61" s="69" t="s">
        <v>4453</v>
      </c>
    </row>
    <row r="64" spans="1:8" ht="15.75" x14ac:dyDescent="0.25">
      <c r="A64" s="37">
        <v>4</v>
      </c>
      <c r="B64" s="38" t="s">
        <v>4415</v>
      </c>
    </row>
    <row r="65" spans="1:2" ht="15.75" x14ac:dyDescent="0.25">
      <c r="A65" s="37">
        <v>9</v>
      </c>
      <c r="B65" s="39" t="s">
        <v>4418</v>
      </c>
    </row>
    <row r="66" spans="1:2" ht="15.75" x14ac:dyDescent="0.25">
      <c r="A66" s="37">
        <v>10</v>
      </c>
      <c r="B66" s="39" t="s">
        <v>4420</v>
      </c>
    </row>
  </sheetData>
  <autoFilter ref="B3:B57" xr:uid="{EAA8C6C0-CEEE-41B4-B86D-FC06511FCBA9}">
    <sortState xmlns:xlrd2="http://schemas.microsoft.com/office/spreadsheetml/2017/richdata2" ref="B4:B57">
      <sortCondition ref="B3:B57"/>
    </sortState>
  </autoFilter>
  <mergeCells count="1">
    <mergeCell ref="C2:F2"/>
  </mergeCells>
  <hyperlinks>
    <hyperlink ref="H13" location="footnotes!four" display="See footnote 4" xr:uid="{B40A7052-5686-4201-9606-30E1A8FE8AEB}"/>
    <hyperlink ref="H40" location="footnotes!nine" display="See footnote 9" xr:uid="{B260A762-84AE-49CA-ADDC-1C4503C22674}"/>
    <hyperlink ref="H41" location="footnotes!nine" display="See footnote 9" xr:uid="{81C133D0-949A-409D-AA29-F2BA63D0BECE}"/>
    <hyperlink ref="H42" location="footnotes!ten" display="See footnote 10" xr:uid="{41CFF440-E7B3-46F2-B27A-90B9438CA683}"/>
  </hyperlinks>
  <pageMargins left="0.7" right="0.7" top="0.75" bottom="0.75" header="0.3" footer="0.3"/>
  <pageSetup orientation="portrait" horizontalDpi="360" verticalDpi="36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A9110D-BEAA-4240-8432-220F44A1930C}">
  <sheetPr codeName="Sheet7"/>
  <dimension ref="A1:R538"/>
  <sheetViews>
    <sheetView topLeftCell="H1" workbookViewId="0">
      <pane ySplit="2" topLeftCell="A395" activePane="bottomLeft" state="frozen"/>
      <selection activeCell="H1" sqref="H1"/>
      <selection pane="bottomLeft" activeCell="M5" sqref="M5"/>
    </sheetView>
  </sheetViews>
  <sheetFormatPr defaultRowHeight="15" x14ac:dyDescent="0.25"/>
  <cols>
    <col min="1" max="1" width="20" hidden="1" customWidth="1"/>
    <col min="2" max="2" width="19.140625" hidden="1" customWidth="1"/>
    <col min="3" max="3" width="58.140625" bestFit="1" customWidth="1"/>
    <col min="4" max="4" width="34.5703125" bestFit="1" customWidth="1"/>
    <col min="5" max="5" width="13.85546875" bestFit="1" customWidth="1"/>
    <col min="6" max="6" width="23.28515625" bestFit="1" customWidth="1"/>
    <col min="7" max="7" width="14.5703125" bestFit="1" customWidth="1"/>
    <col min="8" max="8" width="12.28515625" bestFit="1" customWidth="1"/>
    <col min="9" max="9" width="17.42578125" bestFit="1" customWidth="1"/>
    <col min="10" max="10" width="15.7109375" bestFit="1" customWidth="1"/>
    <col min="11" max="11" width="19.85546875" bestFit="1" customWidth="1"/>
    <col min="12" max="12" width="15.28515625" bestFit="1" customWidth="1"/>
    <col min="13" max="13" width="14.28515625" bestFit="1" customWidth="1"/>
    <col min="14" max="14" width="12.5703125" bestFit="1" customWidth="1"/>
    <col min="15" max="15" width="14.85546875" bestFit="1" customWidth="1"/>
    <col min="16" max="16" width="7.140625" customWidth="1"/>
  </cols>
  <sheetData>
    <row r="1" spans="1:18" x14ac:dyDescent="0.25">
      <c r="M1" s="281" t="s">
        <v>5187</v>
      </c>
      <c r="N1" s="281" t="s">
        <v>5186</v>
      </c>
    </row>
    <row r="2" spans="1:18" x14ac:dyDescent="0.25">
      <c r="A2" s="118" t="s">
        <v>4465</v>
      </c>
      <c r="B2" s="118" t="s">
        <v>4466</v>
      </c>
      <c r="C2" s="118" t="s">
        <v>4400</v>
      </c>
      <c r="D2" s="118" t="s">
        <v>4401</v>
      </c>
      <c r="E2" s="118" t="s">
        <v>4402</v>
      </c>
      <c r="F2" s="118" t="s">
        <v>4403</v>
      </c>
      <c r="G2" s="118" t="s">
        <v>4404</v>
      </c>
      <c r="H2" s="118" t="s">
        <v>4405</v>
      </c>
      <c r="I2" s="118" t="s">
        <v>4406</v>
      </c>
      <c r="J2" s="118" t="s">
        <v>4407</v>
      </c>
      <c r="K2" s="107" t="s">
        <v>4467</v>
      </c>
      <c r="L2" s="108" t="s">
        <v>4468</v>
      </c>
      <c r="M2" s="91" t="s">
        <v>5192</v>
      </c>
      <c r="N2" s="91" t="s">
        <v>5193</v>
      </c>
      <c r="O2" s="109" t="s">
        <v>4471</v>
      </c>
      <c r="P2" s="124" t="s">
        <v>4533</v>
      </c>
      <c r="Q2" s="125" t="s">
        <v>4534</v>
      </c>
      <c r="R2" s="123"/>
    </row>
    <row r="3" spans="1:18" x14ac:dyDescent="0.25">
      <c r="A3" s="29"/>
      <c r="B3" s="29" t="s">
        <v>4472</v>
      </c>
      <c r="C3" s="92" t="s">
        <v>58</v>
      </c>
      <c r="D3" s="93" t="s">
        <v>59</v>
      </c>
      <c r="E3" s="29"/>
      <c r="F3" s="93" t="s">
        <v>60</v>
      </c>
      <c r="G3" s="93" t="s">
        <v>61</v>
      </c>
      <c r="H3" s="93">
        <v>80202</v>
      </c>
      <c r="I3" s="93" t="s">
        <v>62</v>
      </c>
      <c r="J3" s="29"/>
      <c r="K3" s="110">
        <v>0</v>
      </c>
      <c r="L3" s="110">
        <v>0</v>
      </c>
      <c r="M3" s="110">
        <v>0</v>
      </c>
      <c r="N3" s="110">
        <v>0</v>
      </c>
      <c r="O3" s="29" t="s">
        <v>4385</v>
      </c>
      <c r="P3" s="126">
        <v>1</v>
      </c>
      <c r="Q3" t="str">
        <f>UPPER(SUBSTITUTE(SUBSTITUTE(SUBSTITUTE(SUBSTITUTE(C3&amp;D3&amp;F3," ",""),".",""),",",""),"-",""))</f>
        <v>3BEARDELAWAREOPERATINGNMLLC1512LARIMERSTDENVER</v>
      </c>
    </row>
    <row r="4" spans="1:18" x14ac:dyDescent="0.25">
      <c r="A4" s="29"/>
      <c r="B4" s="29"/>
      <c r="C4" s="94" t="s">
        <v>77</v>
      </c>
      <c r="D4" s="95" t="s">
        <v>78</v>
      </c>
      <c r="E4" s="29"/>
      <c r="F4" s="93" t="s">
        <v>79</v>
      </c>
      <c r="G4" s="93" t="s">
        <v>80</v>
      </c>
      <c r="H4" s="93">
        <v>79424</v>
      </c>
      <c r="I4" s="93" t="s">
        <v>62</v>
      </c>
      <c r="J4" s="29"/>
      <c r="K4" s="110">
        <v>5</v>
      </c>
      <c r="L4" s="110">
        <v>0</v>
      </c>
      <c r="M4" s="110">
        <v>0</v>
      </c>
      <c r="N4" s="110">
        <v>2085</v>
      </c>
      <c r="O4" s="29" t="s">
        <v>4386</v>
      </c>
      <c r="P4" s="126">
        <v>2</v>
      </c>
      <c r="Q4" t="str">
        <f t="shared" ref="Q4:Q67" si="0">UPPER(SUBSTITUTE(SUBSTITUTE(SUBSTITUTE(SUBSTITUTE(C4&amp;D4&amp;F4," ",""),".",""),",",""),"-",""))</f>
        <v>3KNIGHTSOPERATINGLLC16609CR1930LUBBOCK</v>
      </c>
    </row>
    <row r="5" spans="1:18" x14ac:dyDescent="0.25">
      <c r="A5" s="29"/>
      <c r="B5" s="29"/>
      <c r="C5" s="94" t="s">
        <v>81</v>
      </c>
      <c r="D5" s="93" t="s">
        <v>82</v>
      </c>
      <c r="E5" s="29"/>
      <c r="F5" s="93" t="s">
        <v>83</v>
      </c>
      <c r="G5" s="93" t="s">
        <v>84</v>
      </c>
      <c r="H5" s="93">
        <v>88211</v>
      </c>
      <c r="I5" s="93" t="s">
        <v>62</v>
      </c>
      <c r="J5" s="29"/>
      <c r="K5" s="110">
        <v>1</v>
      </c>
      <c r="L5" s="110">
        <v>4</v>
      </c>
      <c r="M5" s="110">
        <v>15034</v>
      </c>
      <c r="N5" s="110">
        <v>1261</v>
      </c>
      <c r="O5" s="29" t="s">
        <v>4386</v>
      </c>
      <c r="P5" s="126">
        <v>3</v>
      </c>
      <c r="Q5" t="str">
        <f t="shared" si="0"/>
        <v>801LLCPOBOX900ARTESIA</v>
      </c>
    </row>
    <row r="6" spans="1:18" x14ac:dyDescent="0.25">
      <c r="A6" s="29"/>
      <c r="B6" s="29"/>
      <c r="C6" s="94" t="s">
        <v>85</v>
      </c>
      <c r="D6" s="93" t="s">
        <v>82</v>
      </c>
      <c r="E6" s="29"/>
      <c r="F6" s="93" t="s">
        <v>83</v>
      </c>
      <c r="G6" s="93" t="s">
        <v>84</v>
      </c>
      <c r="H6" s="93">
        <v>88211</v>
      </c>
      <c r="I6" s="93" t="s">
        <v>62</v>
      </c>
      <c r="J6" s="29"/>
      <c r="K6" s="110">
        <v>1</v>
      </c>
      <c r="L6" s="110">
        <v>4</v>
      </c>
      <c r="M6" s="110">
        <v>40281</v>
      </c>
      <c r="N6" s="110">
        <v>1278</v>
      </c>
      <c r="O6" s="29" t="s">
        <v>4386</v>
      </c>
      <c r="P6" s="126">
        <v>4</v>
      </c>
      <c r="Q6" t="str">
        <f t="shared" si="0"/>
        <v>ABOEMPIRELLCPOBOX900ARTESIA</v>
      </c>
    </row>
    <row r="7" spans="1:18" x14ac:dyDescent="0.25">
      <c r="A7" s="29"/>
      <c r="B7" s="29"/>
      <c r="C7" s="94" t="s">
        <v>86</v>
      </c>
      <c r="D7" s="111" t="s">
        <v>87</v>
      </c>
      <c r="E7" s="29"/>
      <c r="F7" s="111" t="s">
        <v>88</v>
      </c>
      <c r="G7" s="111" t="s">
        <v>80</v>
      </c>
      <c r="H7" s="111">
        <v>76116</v>
      </c>
      <c r="I7" s="93" t="s">
        <v>62</v>
      </c>
      <c r="J7" s="29"/>
      <c r="K7" s="110">
        <v>0</v>
      </c>
      <c r="L7" s="110">
        <v>2</v>
      </c>
      <c r="M7" s="110">
        <v>9001</v>
      </c>
      <c r="N7" s="110">
        <v>1826</v>
      </c>
      <c r="O7" s="29" t="s">
        <v>4386</v>
      </c>
      <c r="P7" s="126">
        <v>5</v>
      </c>
      <c r="Q7" t="str">
        <f t="shared" si="0"/>
        <v>ACOMAOILCORP6300RIDGLEAPLFORTWORTH</v>
      </c>
    </row>
    <row r="8" spans="1:18" x14ac:dyDescent="0.25">
      <c r="A8" s="29"/>
      <c r="B8" s="29"/>
      <c r="C8" s="94" t="s">
        <v>108</v>
      </c>
      <c r="D8" s="93" t="s">
        <v>109</v>
      </c>
      <c r="E8" s="29"/>
      <c r="F8" s="93" t="s">
        <v>83</v>
      </c>
      <c r="G8" s="93" t="s">
        <v>84</v>
      </c>
      <c r="H8" s="93">
        <v>88210</v>
      </c>
      <c r="I8" s="93" t="s">
        <v>62</v>
      </c>
      <c r="J8" s="29"/>
      <c r="K8" s="110">
        <v>0</v>
      </c>
      <c r="L8" s="110">
        <v>2</v>
      </c>
      <c r="M8" s="110">
        <v>0</v>
      </c>
      <c r="N8" s="110">
        <v>295</v>
      </c>
      <c r="O8" s="29" t="s">
        <v>4386</v>
      </c>
      <c r="P8" s="126">
        <v>6</v>
      </c>
      <c r="Q8" t="str">
        <f t="shared" si="0"/>
        <v>ADDINGTONLLC1405SADAMSARTESIA</v>
      </c>
    </row>
    <row r="9" spans="1:18" x14ac:dyDescent="0.25">
      <c r="A9" s="29"/>
      <c r="B9" s="29"/>
      <c r="C9" s="94" t="s">
        <v>110</v>
      </c>
      <c r="D9" s="93" t="s">
        <v>111</v>
      </c>
      <c r="E9" s="29"/>
      <c r="F9" s="93" t="s">
        <v>112</v>
      </c>
      <c r="G9" s="93" t="s">
        <v>80</v>
      </c>
      <c r="H9" s="93">
        <v>77077</v>
      </c>
      <c r="I9" s="93" t="s">
        <v>62</v>
      </c>
      <c r="J9" s="29"/>
      <c r="K9" s="110">
        <v>30</v>
      </c>
      <c r="L9" s="110">
        <v>5</v>
      </c>
      <c r="M9" s="110">
        <v>4919438</v>
      </c>
      <c r="N9" s="110">
        <v>3646806</v>
      </c>
      <c r="O9" s="29" t="s">
        <v>4386</v>
      </c>
      <c r="P9" s="126">
        <v>7</v>
      </c>
      <c r="Q9" t="str">
        <f t="shared" si="0"/>
        <v>ADVANCEENERGYPARTNERSHATMESALLC11490WESTHEIMERRDHOUSTON</v>
      </c>
    </row>
    <row r="10" spans="1:18" x14ac:dyDescent="0.25">
      <c r="A10" s="29"/>
      <c r="B10" s="29"/>
      <c r="C10" s="94" t="s">
        <v>121</v>
      </c>
      <c r="D10" s="93" t="s">
        <v>122</v>
      </c>
      <c r="E10" s="29"/>
      <c r="F10" s="93" t="s">
        <v>123</v>
      </c>
      <c r="G10" s="93" t="s">
        <v>84</v>
      </c>
      <c r="H10" s="93">
        <v>87402</v>
      </c>
      <c r="I10" s="93" t="s">
        <v>62</v>
      </c>
      <c r="J10" s="29"/>
      <c r="K10" s="110">
        <v>20</v>
      </c>
      <c r="L10" s="110">
        <v>138</v>
      </c>
      <c r="M10" s="110">
        <v>923520</v>
      </c>
      <c r="N10" s="110">
        <v>16284</v>
      </c>
      <c r="O10" s="29" t="s">
        <v>4386</v>
      </c>
      <c r="P10" s="126">
        <v>8</v>
      </c>
      <c r="Q10" t="str">
        <f t="shared" si="0"/>
        <v>ADVANCEDWIRELESSCOMMUNICATIONSLLC5500RAILRDFARMINGTON</v>
      </c>
    </row>
    <row r="11" spans="1:18" x14ac:dyDescent="0.25">
      <c r="A11" s="29"/>
      <c r="B11" s="29"/>
      <c r="C11" s="112" t="s">
        <v>4473</v>
      </c>
      <c r="D11" s="93" t="s">
        <v>125</v>
      </c>
      <c r="E11" s="29"/>
      <c r="F11" s="93" t="s">
        <v>126</v>
      </c>
      <c r="G11" s="93" t="s">
        <v>80</v>
      </c>
      <c r="H11" s="93">
        <v>78746</v>
      </c>
      <c r="I11" s="93" t="s">
        <v>62</v>
      </c>
      <c r="J11" s="29"/>
      <c r="K11" s="110">
        <v>11</v>
      </c>
      <c r="L11" s="110">
        <v>0</v>
      </c>
      <c r="M11" s="110">
        <v>5333012</v>
      </c>
      <c r="N11" s="110">
        <v>1645326</v>
      </c>
      <c r="O11" s="29" t="s">
        <v>4386</v>
      </c>
      <c r="P11" s="126">
        <v>9</v>
      </c>
      <c r="Q11" t="str">
        <f t="shared" si="0"/>
        <v>AMEREDEVOPERATINGLLC2901VIAFORTUNAAUSTIN</v>
      </c>
    </row>
    <row r="12" spans="1:18" x14ac:dyDescent="0.25">
      <c r="A12" s="29"/>
      <c r="B12" s="29" t="s">
        <v>4472</v>
      </c>
      <c r="C12" s="92" t="s">
        <v>135</v>
      </c>
      <c r="D12" s="100" t="s">
        <v>136</v>
      </c>
      <c r="E12" s="29"/>
      <c r="F12" s="93" t="s">
        <v>137</v>
      </c>
      <c r="G12" s="93" t="s">
        <v>80</v>
      </c>
      <c r="H12" s="93">
        <v>79105</v>
      </c>
      <c r="I12" s="93" t="s">
        <v>62</v>
      </c>
      <c r="J12" s="29"/>
      <c r="K12" s="110">
        <v>0</v>
      </c>
      <c r="L12" s="110">
        <v>0</v>
      </c>
      <c r="M12" s="110">
        <v>0</v>
      </c>
      <c r="N12" s="110">
        <v>0</v>
      </c>
      <c r="O12" s="29" t="s">
        <v>4385</v>
      </c>
      <c r="P12" s="126">
        <v>10</v>
      </c>
      <c r="Q12" t="str">
        <f t="shared" si="0"/>
        <v>AMERICANGATHERINGPOBOX90AMARILLO</v>
      </c>
    </row>
    <row r="13" spans="1:18" x14ac:dyDescent="0.25">
      <c r="A13" s="29"/>
      <c r="B13" s="29"/>
      <c r="C13" s="112" t="s">
        <v>4474</v>
      </c>
      <c r="D13" s="100" t="s">
        <v>139</v>
      </c>
      <c r="E13" s="29"/>
      <c r="F13" s="93" t="s">
        <v>112</v>
      </c>
      <c r="G13" s="93" t="s">
        <v>80</v>
      </c>
      <c r="H13" s="93">
        <v>77063</v>
      </c>
      <c r="I13" s="93" t="s">
        <v>62</v>
      </c>
      <c r="J13" s="29"/>
      <c r="K13" s="110">
        <v>9</v>
      </c>
      <c r="L13" s="110">
        <v>6</v>
      </c>
      <c r="M13" s="110">
        <v>86425</v>
      </c>
      <c r="N13" s="110">
        <v>69144</v>
      </c>
      <c r="O13" s="29" t="s">
        <v>4386</v>
      </c>
      <c r="P13" s="126">
        <v>11</v>
      </c>
      <c r="Q13" t="str">
        <f t="shared" si="0"/>
        <v>AMERICOENERGYRESOURCESLLC7575SANFELIPEHOUSTON</v>
      </c>
    </row>
    <row r="14" spans="1:18" x14ac:dyDescent="0.25">
      <c r="A14" s="29"/>
      <c r="B14" s="29"/>
      <c r="C14" s="94" t="s">
        <v>146</v>
      </c>
      <c r="D14" s="93" t="s">
        <v>147</v>
      </c>
      <c r="E14" s="29"/>
      <c r="F14" s="93" t="s">
        <v>148</v>
      </c>
      <c r="G14" s="93" t="s">
        <v>80</v>
      </c>
      <c r="H14" s="93">
        <v>76147</v>
      </c>
      <c r="I14" s="93" t="s">
        <v>62</v>
      </c>
      <c r="J14" s="29"/>
      <c r="K14" s="110">
        <v>1</v>
      </c>
      <c r="L14" s="110">
        <v>5</v>
      </c>
      <c r="M14" s="110">
        <v>32051</v>
      </c>
      <c r="N14" s="110">
        <v>22928</v>
      </c>
      <c r="O14" s="29" t="s">
        <v>4386</v>
      </c>
      <c r="P14" s="126">
        <v>12</v>
      </c>
      <c r="Q14" t="str">
        <f t="shared" si="0"/>
        <v>AMTEXENERGYINCPOBOX470158FTWORTH</v>
      </c>
    </row>
    <row r="15" spans="1:18" x14ac:dyDescent="0.25">
      <c r="A15" s="29"/>
      <c r="B15" s="29" t="s">
        <v>4472</v>
      </c>
      <c r="C15" s="92" t="s">
        <v>156</v>
      </c>
      <c r="D15" s="100" t="s">
        <v>157</v>
      </c>
      <c r="E15" s="29"/>
      <c r="F15" s="93" t="s">
        <v>112</v>
      </c>
      <c r="G15" s="93" t="s">
        <v>80</v>
      </c>
      <c r="H15" s="93">
        <v>77251</v>
      </c>
      <c r="I15" s="93" t="s">
        <v>62</v>
      </c>
      <c r="J15" s="29"/>
      <c r="K15" s="110">
        <v>0</v>
      </c>
      <c r="L15" s="110">
        <v>0</v>
      </c>
      <c r="M15" s="110">
        <v>0</v>
      </c>
      <c r="N15" s="110">
        <v>0</v>
      </c>
      <c r="O15" s="29" t="s">
        <v>4385</v>
      </c>
      <c r="P15" s="126">
        <v>13</v>
      </c>
      <c r="Q15" t="str">
        <f t="shared" si="0"/>
        <v>ANADARKOPETROLEUMCORPORATIONPOBOX1330HOUSTON</v>
      </c>
    </row>
    <row r="16" spans="1:18" x14ac:dyDescent="0.25">
      <c r="A16" s="29"/>
      <c r="B16" s="29"/>
      <c r="C16" s="94" t="s">
        <v>171</v>
      </c>
      <c r="D16" s="93" t="s">
        <v>172</v>
      </c>
      <c r="E16" s="29"/>
      <c r="F16" s="93" t="s">
        <v>123</v>
      </c>
      <c r="G16" s="93" t="s">
        <v>84</v>
      </c>
      <c r="H16" s="93">
        <v>87499</v>
      </c>
      <c r="I16" s="93" t="s">
        <v>62</v>
      </c>
      <c r="J16" s="29"/>
      <c r="K16" s="110">
        <v>0</v>
      </c>
      <c r="L16" s="110">
        <v>3</v>
      </c>
      <c r="M16" s="110">
        <v>29538</v>
      </c>
      <c r="N16" s="110">
        <v>0</v>
      </c>
      <c r="O16" s="29" t="s">
        <v>4386</v>
      </c>
      <c r="P16" s="126">
        <v>14</v>
      </c>
      <c r="Q16" t="str">
        <f t="shared" si="0"/>
        <v>ANDERSONOILLTDLLPPOBOX420FARMINGTON</v>
      </c>
    </row>
    <row r="17" spans="1:17" x14ac:dyDescent="0.25">
      <c r="A17" s="29"/>
      <c r="B17" s="29"/>
      <c r="C17" s="112" t="s">
        <v>4475</v>
      </c>
      <c r="D17" s="93" t="s">
        <v>174</v>
      </c>
      <c r="E17" s="29"/>
      <c r="F17" s="93" t="s">
        <v>153</v>
      </c>
      <c r="G17" s="93" t="s">
        <v>80</v>
      </c>
      <c r="H17" s="93">
        <v>79705</v>
      </c>
      <c r="I17" s="93" t="s">
        <v>62</v>
      </c>
      <c r="J17" s="29"/>
      <c r="K17" s="110">
        <v>599</v>
      </c>
      <c r="L17" s="110">
        <v>1737</v>
      </c>
      <c r="M17" s="110">
        <v>51440989</v>
      </c>
      <c r="N17" s="110">
        <v>11909376</v>
      </c>
      <c r="O17" s="29" t="s">
        <v>4386</v>
      </c>
      <c r="P17" s="126">
        <v>15</v>
      </c>
      <c r="Q17" t="str">
        <f t="shared" si="0"/>
        <v>APACHECORPORATION303VETERANSAIRPARKLANEMIDLAND</v>
      </c>
    </row>
    <row r="18" spans="1:17" x14ac:dyDescent="0.25">
      <c r="A18" s="29"/>
      <c r="B18" s="29" t="s">
        <v>4476</v>
      </c>
      <c r="C18" s="92" t="s">
        <v>181</v>
      </c>
      <c r="D18" s="100" t="s">
        <v>182</v>
      </c>
      <c r="E18" s="29"/>
      <c r="F18" s="93" t="s">
        <v>183</v>
      </c>
      <c r="G18" s="93" t="s">
        <v>184</v>
      </c>
      <c r="H18" s="93">
        <v>74136</v>
      </c>
      <c r="I18" s="93" t="s">
        <v>62</v>
      </c>
      <c r="J18" s="29"/>
      <c r="K18" s="110">
        <v>0</v>
      </c>
      <c r="L18" s="110">
        <v>0</v>
      </c>
      <c r="M18" s="110">
        <v>0</v>
      </c>
      <c r="N18" s="110">
        <v>0</v>
      </c>
      <c r="O18" s="29" t="s">
        <v>4385</v>
      </c>
      <c r="P18" s="126">
        <v>16</v>
      </c>
      <c r="Q18" t="str">
        <f t="shared" si="0"/>
        <v>APACHECORPORATIONCENTRALREGIONPRODUCTIONOFFICE6120SOUTHYALETULSA</v>
      </c>
    </row>
    <row r="19" spans="1:17" x14ac:dyDescent="0.25">
      <c r="A19" s="29"/>
      <c r="B19" s="29" t="s">
        <v>4472</v>
      </c>
      <c r="C19" s="92" t="s">
        <v>194</v>
      </c>
      <c r="D19" s="100" t="s">
        <v>195</v>
      </c>
      <c r="E19" s="29"/>
      <c r="F19" s="93" t="s">
        <v>112</v>
      </c>
      <c r="G19" s="93" t="s">
        <v>80</v>
      </c>
      <c r="H19" s="93">
        <v>77024</v>
      </c>
      <c r="I19" s="93" t="s">
        <v>62</v>
      </c>
      <c r="J19" s="29"/>
      <c r="K19" s="110">
        <v>0</v>
      </c>
      <c r="L19" s="110">
        <v>0</v>
      </c>
      <c r="M19" s="110">
        <v>0</v>
      </c>
      <c r="N19" s="110">
        <v>0</v>
      </c>
      <c r="O19" s="29" t="s">
        <v>4385</v>
      </c>
      <c r="P19" s="126">
        <v>17</v>
      </c>
      <c r="Q19" t="str">
        <f t="shared" si="0"/>
        <v>ARCHROCKSERVICESLP9807KATYFREEWAYHOUSTON</v>
      </c>
    </row>
    <row r="20" spans="1:17" x14ac:dyDescent="0.25">
      <c r="A20" s="29"/>
      <c r="B20" s="29" t="s">
        <v>4472</v>
      </c>
      <c r="C20" s="92" t="s">
        <v>204</v>
      </c>
      <c r="D20" s="100" t="s">
        <v>205</v>
      </c>
      <c r="E20" s="29"/>
      <c r="F20" s="93" t="s">
        <v>206</v>
      </c>
      <c r="G20" s="93" t="s">
        <v>84</v>
      </c>
      <c r="H20" s="93">
        <v>88240</v>
      </c>
      <c r="I20" s="93" t="s">
        <v>62</v>
      </c>
      <c r="J20" s="29"/>
      <c r="K20" s="110">
        <v>0</v>
      </c>
      <c r="L20" s="110">
        <v>0</v>
      </c>
      <c r="M20" s="110">
        <v>0</v>
      </c>
      <c r="N20" s="110">
        <v>0</v>
      </c>
      <c r="O20" s="29" t="s">
        <v>4385</v>
      </c>
      <c r="P20" s="126">
        <v>18</v>
      </c>
      <c r="Q20" t="str">
        <f t="shared" si="0"/>
        <v>ARENARESOURCESINC315SOUTHLEECHHOBBS</v>
      </c>
    </row>
    <row r="21" spans="1:17" x14ac:dyDescent="0.25">
      <c r="A21" s="29"/>
      <c r="B21" s="29"/>
      <c r="C21" s="94" t="s">
        <v>207</v>
      </c>
      <c r="D21" s="96" t="s">
        <v>208</v>
      </c>
      <c r="E21" s="29"/>
      <c r="F21" s="96" t="s">
        <v>209</v>
      </c>
      <c r="G21" s="96" t="s">
        <v>84</v>
      </c>
      <c r="H21" s="96">
        <v>88202</v>
      </c>
      <c r="I21" s="93" t="s">
        <v>62</v>
      </c>
      <c r="J21" s="29"/>
      <c r="K21" s="110">
        <v>28</v>
      </c>
      <c r="L21" s="110">
        <v>72</v>
      </c>
      <c r="M21" s="110">
        <v>1882553</v>
      </c>
      <c r="N21" s="110">
        <v>562549</v>
      </c>
      <c r="O21" s="29" t="s">
        <v>4386</v>
      </c>
      <c r="P21" s="126">
        <v>19</v>
      </c>
      <c r="Q21" t="str">
        <f t="shared" si="0"/>
        <v>ARMSTRONGENERGYCORPPOBOX1973ROSWELL</v>
      </c>
    </row>
    <row r="22" spans="1:17" x14ac:dyDescent="0.25">
      <c r="A22" s="29"/>
      <c r="B22" s="29"/>
      <c r="C22" s="94" t="s">
        <v>217</v>
      </c>
      <c r="D22" s="93" t="s">
        <v>218</v>
      </c>
      <c r="E22" s="29"/>
      <c r="F22" s="93" t="s">
        <v>60</v>
      </c>
      <c r="G22" s="93" t="s">
        <v>61</v>
      </c>
      <c r="H22" s="93">
        <v>80202</v>
      </c>
      <c r="I22" s="93" t="s">
        <v>62</v>
      </c>
      <c r="J22" s="29"/>
      <c r="K22" s="110">
        <v>7</v>
      </c>
      <c r="L22" s="110">
        <v>3</v>
      </c>
      <c r="M22" s="110">
        <v>67536</v>
      </c>
      <c r="N22" s="110">
        <v>31184</v>
      </c>
      <c r="O22" s="29" t="s">
        <v>4386</v>
      </c>
      <c r="P22" s="126">
        <v>20</v>
      </c>
      <c r="Q22" t="str">
        <f t="shared" si="0"/>
        <v>ASCENTENERGYLLC112517THSTDENVER</v>
      </c>
    </row>
    <row r="23" spans="1:17" x14ac:dyDescent="0.25">
      <c r="A23" s="29"/>
      <c r="B23" s="29"/>
      <c r="C23" s="94" t="s">
        <v>223</v>
      </c>
      <c r="D23" s="93" t="s">
        <v>224</v>
      </c>
      <c r="E23" s="29"/>
      <c r="F23" s="93" t="s">
        <v>183</v>
      </c>
      <c r="G23" s="93" t="s">
        <v>184</v>
      </c>
      <c r="H23" s="93">
        <v>74133</v>
      </c>
      <c r="I23" s="93" t="s">
        <v>62</v>
      </c>
      <c r="J23" s="29"/>
      <c r="K23" s="110">
        <v>1</v>
      </c>
      <c r="L23" s="110">
        <v>0</v>
      </c>
      <c r="M23" s="110">
        <v>2596</v>
      </c>
      <c r="N23" s="110">
        <v>0</v>
      </c>
      <c r="O23" s="29" t="s">
        <v>4386</v>
      </c>
      <c r="P23" s="126">
        <v>21</v>
      </c>
      <c r="Q23" t="str">
        <f t="shared" si="0"/>
        <v>ASHERENTERPRISESLTDCO11063DSOMEMORIALDRIVEPMB525TULSA</v>
      </c>
    </row>
    <row r="24" spans="1:17" x14ac:dyDescent="0.25">
      <c r="A24" s="29"/>
      <c r="B24" s="29"/>
      <c r="C24" s="94" t="s">
        <v>235</v>
      </c>
      <c r="D24" s="93" t="s">
        <v>236</v>
      </c>
      <c r="E24" s="29"/>
      <c r="F24" s="93" t="s">
        <v>88</v>
      </c>
      <c r="G24" s="93" t="s">
        <v>80</v>
      </c>
      <c r="H24" s="93">
        <v>76107</v>
      </c>
      <c r="I24" s="93" t="s">
        <v>62</v>
      </c>
      <c r="J24" s="29"/>
      <c r="K24" s="110">
        <v>0</v>
      </c>
      <c r="L24" s="110">
        <v>2</v>
      </c>
      <c r="M24" s="110">
        <v>0</v>
      </c>
      <c r="N24" s="110">
        <v>5404</v>
      </c>
      <c r="O24" s="29" t="s">
        <v>4386</v>
      </c>
      <c r="P24" s="126">
        <v>22</v>
      </c>
      <c r="Q24" t="str">
        <f t="shared" si="0"/>
        <v>ASPENOPERATINGCOMPANYLLC210WESTSIXTHSTREETFORTWORTH</v>
      </c>
    </row>
    <row r="25" spans="1:17" x14ac:dyDescent="0.25">
      <c r="A25" s="29"/>
      <c r="B25" s="29" t="s">
        <v>4472</v>
      </c>
      <c r="C25" s="92" t="s">
        <v>244</v>
      </c>
      <c r="D25" s="100" t="s">
        <v>245</v>
      </c>
      <c r="E25" s="29"/>
      <c r="F25" s="93" t="s">
        <v>246</v>
      </c>
      <c r="G25" s="93" t="s">
        <v>80</v>
      </c>
      <c r="H25" s="93">
        <v>75074</v>
      </c>
      <c r="I25" s="93" t="s">
        <v>62</v>
      </c>
      <c r="J25" s="29"/>
      <c r="K25" s="110">
        <v>0</v>
      </c>
      <c r="L25" s="110">
        <v>0</v>
      </c>
      <c r="M25" s="110">
        <v>0</v>
      </c>
      <c r="N25" s="110">
        <v>0</v>
      </c>
      <c r="O25" s="29" t="s">
        <v>4385</v>
      </c>
      <c r="P25" s="126">
        <v>23</v>
      </c>
      <c r="Q25" t="str">
        <f t="shared" si="0"/>
        <v>ATLANTICRICHFIELDCOMPANY1701SUMMITPLANO</v>
      </c>
    </row>
    <row r="26" spans="1:17" x14ac:dyDescent="0.25">
      <c r="A26" s="29"/>
      <c r="B26" s="29"/>
      <c r="C26" s="94" t="s">
        <v>266</v>
      </c>
      <c r="D26" s="93" t="s">
        <v>267</v>
      </c>
      <c r="E26" s="29"/>
      <c r="F26" s="93" t="s">
        <v>268</v>
      </c>
      <c r="G26" s="93" t="s">
        <v>84</v>
      </c>
      <c r="H26" s="93">
        <v>88260</v>
      </c>
      <c r="I26" s="93" t="s">
        <v>62</v>
      </c>
      <c r="J26" s="29"/>
      <c r="K26" s="110">
        <v>0</v>
      </c>
      <c r="L26" s="110">
        <v>2</v>
      </c>
      <c r="M26" s="110">
        <v>0</v>
      </c>
      <c r="N26" s="110">
        <v>660</v>
      </c>
      <c r="O26" s="29" t="s">
        <v>4386</v>
      </c>
      <c r="P26" s="126">
        <v>24</v>
      </c>
      <c r="Q26" t="str">
        <f t="shared" si="0"/>
        <v>B2JLLCPOBOX52LOVINGTON</v>
      </c>
    </row>
    <row r="27" spans="1:17" x14ac:dyDescent="0.25">
      <c r="A27" s="29"/>
      <c r="B27" s="29"/>
      <c r="C27" s="94" t="s">
        <v>269</v>
      </c>
      <c r="D27" s="93" t="s">
        <v>270</v>
      </c>
      <c r="E27" s="29"/>
      <c r="F27" s="93" t="s">
        <v>153</v>
      </c>
      <c r="G27" s="93" t="s">
        <v>80</v>
      </c>
      <c r="H27" s="93">
        <v>79707</v>
      </c>
      <c r="I27" s="93" t="s">
        <v>62</v>
      </c>
      <c r="J27" s="29"/>
      <c r="K27" s="110">
        <v>1</v>
      </c>
      <c r="L27" s="110">
        <v>0</v>
      </c>
      <c r="M27" s="110">
        <v>97</v>
      </c>
      <c r="N27" s="110">
        <v>6289</v>
      </c>
      <c r="O27" s="29" t="s">
        <v>4386</v>
      </c>
      <c r="P27" s="126">
        <v>25</v>
      </c>
      <c r="Q27" t="str">
        <f t="shared" si="0"/>
        <v>BAMPERMIANOPERATINGLLC4416BRIARWOODAVEMIDLAND</v>
      </c>
    </row>
    <row r="28" spans="1:17" x14ac:dyDescent="0.25">
      <c r="A28" s="29"/>
      <c r="B28" s="29"/>
      <c r="C28" s="94" t="s">
        <v>277</v>
      </c>
      <c r="D28" s="93" t="s">
        <v>278</v>
      </c>
      <c r="E28" s="29"/>
      <c r="F28" s="93" t="s">
        <v>209</v>
      </c>
      <c r="G28" s="93" t="s">
        <v>84</v>
      </c>
      <c r="H28" s="93">
        <v>88202</v>
      </c>
      <c r="I28" s="93" t="s">
        <v>62</v>
      </c>
      <c r="J28" s="29"/>
      <c r="K28" s="110">
        <v>0</v>
      </c>
      <c r="L28" s="110">
        <v>13</v>
      </c>
      <c r="M28" s="110">
        <v>0</v>
      </c>
      <c r="N28" s="110">
        <v>111</v>
      </c>
      <c r="O28" s="29" t="s">
        <v>4386</v>
      </c>
      <c r="P28" s="126">
        <v>26</v>
      </c>
      <c r="Q28" t="str">
        <f t="shared" si="0"/>
        <v>BARVBARBLLCPOBOX4435ROSWELL</v>
      </c>
    </row>
    <row r="29" spans="1:17" x14ac:dyDescent="0.25">
      <c r="A29" s="29"/>
      <c r="B29" s="29"/>
      <c r="C29" s="94" t="s">
        <v>289</v>
      </c>
      <c r="D29" s="93" t="s">
        <v>290</v>
      </c>
      <c r="E29" s="29"/>
      <c r="F29" s="93" t="s">
        <v>291</v>
      </c>
      <c r="G29" s="93" t="s">
        <v>84</v>
      </c>
      <c r="H29" s="93">
        <v>88114</v>
      </c>
      <c r="I29" s="93" t="s">
        <v>62</v>
      </c>
      <c r="J29" s="29"/>
      <c r="K29" s="110">
        <v>2</v>
      </c>
      <c r="L29" s="110">
        <v>4</v>
      </c>
      <c r="M29" s="110">
        <v>0</v>
      </c>
      <c r="N29" s="110">
        <v>619</v>
      </c>
      <c r="O29" s="29" t="s">
        <v>4386</v>
      </c>
      <c r="P29" s="126">
        <v>27</v>
      </c>
      <c r="Q29" t="str">
        <f t="shared" si="0"/>
        <v>BARRYDLEEDBABARRYLEEINVESTMENTSHC65BOX222CROSSROADS</v>
      </c>
    </row>
    <row r="30" spans="1:17" x14ac:dyDescent="0.25">
      <c r="A30" s="29"/>
      <c r="B30" s="29"/>
      <c r="C30" s="94" t="s">
        <v>292</v>
      </c>
      <c r="D30" s="93" t="s">
        <v>293</v>
      </c>
      <c r="E30" s="29"/>
      <c r="F30" s="93" t="s">
        <v>206</v>
      </c>
      <c r="G30" s="93" t="s">
        <v>84</v>
      </c>
      <c r="H30" s="93">
        <v>88240</v>
      </c>
      <c r="I30" s="93" t="s">
        <v>62</v>
      </c>
      <c r="J30" s="29"/>
      <c r="K30" s="110">
        <v>1</v>
      </c>
      <c r="L30" s="110">
        <v>1</v>
      </c>
      <c r="M30" s="110">
        <v>39570</v>
      </c>
      <c r="N30" s="110">
        <v>1497</v>
      </c>
      <c r="O30" s="29" t="s">
        <v>4386</v>
      </c>
      <c r="P30" s="126">
        <v>28</v>
      </c>
      <c r="Q30" t="str">
        <f t="shared" si="0"/>
        <v>BC&amp;DOPERATINGINC1008WESTBROADWAYHOBBS</v>
      </c>
    </row>
    <row r="31" spans="1:17" x14ac:dyDescent="0.25">
      <c r="A31" s="29"/>
      <c r="B31" s="29"/>
      <c r="C31" s="94" t="s">
        <v>294</v>
      </c>
      <c r="D31" s="93" t="s">
        <v>295</v>
      </c>
      <c r="E31" s="29"/>
      <c r="F31" s="93" t="s">
        <v>153</v>
      </c>
      <c r="G31" s="93" t="s">
        <v>80</v>
      </c>
      <c r="H31" s="93">
        <v>79710</v>
      </c>
      <c r="I31" s="93" t="s">
        <v>62</v>
      </c>
      <c r="J31" s="29"/>
      <c r="K31" s="110">
        <v>1</v>
      </c>
      <c r="L31" s="110">
        <v>0</v>
      </c>
      <c r="M31" s="110">
        <v>14898</v>
      </c>
      <c r="N31" s="110">
        <v>0</v>
      </c>
      <c r="O31" s="29" t="s">
        <v>4386</v>
      </c>
      <c r="P31" s="126">
        <v>29</v>
      </c>
      <c r="Q31" t="str">
        <f t="shared" si="0"/>
        <v>BCOPERATINGINCPOBOX50820MIDLAND</v>
      </c>
    </row>
    <row r="32" spans="1:17" x14ac:dyDescent="0.25">
      <c r="A32" s="29"/>
      <c r="B32" s="29"/>
      <c r="C32" s="94" t="s">
        <v>301</v>
      </c>
      <c r="D32" s="93" t="s">
        <v>302</v>
      </c>
      <c r="E32" s="29"/>
      <c r="F32" s="93" t="s">
        <v>303</v>
      </c>
      <c r="G32" s="93" t="s">
        <v>80</v>
      </c>
      <c r="H32" s="93">
        <v>79701</v>
      </c>
      <c r="I32" s="93" t="s">
        <v>62</v>
      </c>
      <c r="J32" s="29"/>
      <c r="K32" s="110">
        <v>0</v>
      </c>
      <c r="L32" s="110">
        <v>15</v>
      </c>
      <c r="M32" s="110">
        <v>44825</v>
      </c>
      <c r="N32" s="110">
        <v>20603</v>
      </c>
      <c r="O32" s="29" t="s">
        <v>4386</v>
      </c>
      <c r="P32" s="126">
        <v>30</v>
      </c>
      <c r="Q32" t="str">
        <f t="shared" si="0"/>
        <v>BEACHEXPLORATIONINC800NORTHMARIENFELDMIDLAND</v>
      </c>
    </row>
    <row r="33" spans="1:17" x14ac:dyDescent="0.25">
      <c r="A33" s="29"/>
      <c r="B33" s="29"/>
      <c r="C33" s="94" t="s">
        <v>309</v>
      </c>
      <c r="D33" s="93" t="s">
        <v>310</v>
      </c>
      <c r="E33" s="29"/>
      <c r="F33" s="93" t="s">
        <v>123</v>
      </c>
      <c r="G33" s="93" t="s">
        <v>84</v>
      </c>
      <c r="H33" s="93" t="s">
        <v>311</v>
      </c>
      <c r="I33" s="93" t="s">
        <v>62</v>
      </c>
      <c r="J33" s="29"/>
      <c r="K33" s="110">
        <v>17</v>
      </c>
      <c r="L33" s="110">
        <v>64</v>
      </c>
      <c r="M33" s="110">
        <v>1042229</v>
      </c>
      <c r="N33" s="110">
        <v>138578</v>
      </c>
      <c r="O33" s="29" t="s">
        <v>4386</v>
      </c>
      <c r="P33" s="126">
        <v>31</v>
      </c>
      <c r="Q33" t="str">
        <f t="shared" si="0"/>
        <v>BENSONMONTINGREERDRILLINGCORP4900COLLEGEBLVDFARMINGTON</v>
      </c>
    </row>
    <row r="34" spans="1:17" x14ac:dyDescent="0.25">
      <c r="A34" s="29"/>
      <c r="B34" s="29"/>
      <c r="C34" s="94" t="s">
        <v>316</v>
      </c>
      <c r="D34" s="93" t="s">
        <v>317</v>
      </c>
      <c r="E34" s="29"/>
      <c r="F34" s="93" t="s">
        <v>318</v>
      </c>
      <c r="G34" s="93" t="s">
        <v>80</v>
      </c>
      <c r="H34" s="93">
        <v>76450</v>
      </c>
      <c r="I34" s="93" t="s">
        <v>62</v>
      </c>
      <c r="J34" s="29"/>
      <c r="K34" s="110">
        <v>2</v>
      </c>
      <c r="L34" s="110">
        <v>13</v>
      </c>
      <c r="M34" s="110">
        <v>38949</v>
      </c>
      <c r="N34" s="110">
        <v>12578</v>
      </c>
      <c r="O34" s="29" t="s">
        <v>4386</v>
      </c>
      <c r="P34" s="126">
        <v>32</v>
      </c>
      <c r="Q34" t="str">
        <f t="shared" si="0"/>
        <v>BETTISBOYLE&amp;STOVALLINCPOBOX1240GRAHAM</v>
      </c>
    </row>
    <row r="35" spans="1:17" x14ac:dyDescent="0.25">
      <c r="A35" s="29"/>
      <c r="B35" s="29"/>
      <c r="C35" s="94" t="s">
        <v>324</v>
      </c>
      <c r="D35" s="93" t="s">
        <v>325</v>
      </c>
      <c r="E35" s="29"/>
      <c r="F35" s="93" t="s">
        <v>326</v>
      </c>
      <c r="G35" s="93" t="s">
        <v>61</v>
      </c>
      <c r="H35" s="93">
        <v>80437</v>
      </c>
      <c r="I35" s="93" t="s">
        <v>62</v>
      </c>
      <c r="J35" s="29"/>
      <c r="K35" s="110">
        <v>1</v>
      </c>
      <c r="L35" s="110">
        <v>3</v>
      </c>
      <c r="M35" s="110">
        <v>0</v>
      </c>
      <c r="N35" s="110">
        <v>507</v>
      </c>
      <c r="O35" s="29" t="s">
        <v>4386</v>
      </c>
      <c r="P35" s="126">
        <v>33</v>
      </c>
      <c r="Q35" t="str">
        <f t="shared" si="0"/>
        <v>BILLLMILLERPOBOX3396EVERGREEN</v>
      </c>
    </row>
    <row r="36" spans="1:17" x14ac:dyDescent="0.25">
      <c r="A36" s="29"/>
      <c r="B36" s="29"/>
      <c r="C36" s="94" t="s">
        <v>327</v>
      </c>
      <c r="D36" s="93" t="s">
        <v>328</v>
      </c>
      <c r="E36" s="29"/>
      <c r="F36" s="93" t="s">
        <v>329</v>
      </c>
      <c r="G36" s="93" t="s">
        <v>61</v>
      </c>
      <c r="H36" s="93">
        <v>80160</v>
      </c>
      <c r="I36" s="93" t="s">
        <v>62</v>
      </c>
      <c r="J36" s="29"/>
      <c r="K36" s="110">
        <v>0</v>
      </c>
      <c r="L36" s="110">
        <v>20</v>
      </c>
      <c r="M36" s="110">
        <v>0</v>
      </c>
      <c r="N36" s="110">
        <v>2721</v>
      </c>
      <c r="O36" s="29" t="s">
        <v>4386</v>
      </c>
      <c r="P36" s="126">
        <v>34</v>
      </c>
      <c r="Q36" t="str">
        <f t="shared" si="0"/>
        <v>BIYAOPERATORSINCPOBOX370LITTLETON</v>
      </c>
    </row>
    <row r="37" spans="1:17" x14ac:dyDescent="0.25">
      <c r="A37" s="29"/>
      <c r="B37" s="29"/>
      <c r="C37" s="94" t="s">
        <v>330</v>
      </c>
      <c r="D37" s="93" t="s">
        <v>331</v>
      </c>
      <c r="E37" s="29"/>
      <c r="F37" s="93" t="s">
        <v>183</v>
      </c>
      <c r="G37" s="93" t="s">
        <v>184</v>
      </c>
      <c r="H37" s="93" t="s">
        <v>332</v>
      </c>
      <c r="I37" s="93" t="s">
        <v>62</v>
      </c>
      <c r="J37" s="29"/>
      <c r="K37" s="110">
        <v>0</v>
      </c>
      <c r="L37" s="110">
        <v>17</v>
      </c>
      <c r="M37" s="110">
        <v>232190</v>
      </c>
      <c r="N37" s="110">
        <v>15757</v>
      </c>
      <c r="O37" s="29" t="s">
        <v>4386</v>
      </c>
      <c r="P37" s="126">
        <v>35</v>
      </c>
      <c r="Q37" t="str">
        <f t="shared" si="0"/>
        <v>BKEXPLORATIONCORPPOBOX52098TULSA</v>
      </c>
    </row>
    <row r="38" spans="1:17" x14ac:dyDescent="0.25">
      <c r="A38" s="29"/>
      <c r="B38" s="29" t="s">
        <v>4477</v>
      </c>
      <c r="C38" s="92" t="s">
        <v>338</v>
      </c>
      <c r="D38" s="100" t="s">
        <v>339</v>
      </c>
      <c r="E38" s="29"/>
      <c r="F38" s="97" t="s">
        <v>60</v>
      </c>
      <c r="G38" s="97" t="s">
        <v>61</v>
      </c>
      <c r="H38" s="97">
        <v>80222</v>
      </c>
      <c r="I38" s="93" t="s">
        <v>62</v>
      </c>
      <c r="J38" s="29"/>
      <c r="K38" s="110">
        <v>0</v>
      </c>
      <c r="L38" s="110">
        <v>0</v>
      </c>
      <c r="M38" s="110">
        <v>0</v>
      </c>
      <c r="N38" s="110">
        <v>0</v>
      </c>
      <c r="O38" s="29" t="s">
        <v>4385</v>
      </c>
      <c r="P38" s="126">
        <v>36</v>
      </c>
      <c r="Q38" t="str">
        <f t="shared" si="0"/>
        <v>BLACKHAWKENERGYCORPORATION2351SHOLLYPLACEDENVER</v>
      </c>
    </row>
    <row r="39" spans="1:17" x14ac:dyDescent="0.25">
      <c r="A39" s="29"/>
      <c r="B39" s="29"/>
      <c r="C39" s="94" t="s">
        <v>340</v>
      </c>
      <c r="D39" s="93" t="s">
        <v>341</v>
      </c>
      <c r="E39" s="29"/>
      <c r="F39" s="93" t="s">
        <v>88</v>
      </c>
      <c r="G39" s="93" t="s">
        <v>80</v>
      </c>
      <c r="H39" s="93">
        <v>76107</v>
      </c>
      <c r="I39" s="93" t="s">
        <v>62</v>
      </c>
      <c r="J39" s="29"/>
      <c r="K39" s="110">
        <v>26</v>
      </c>
      <c r="L39" s="110">
        <v>126</v>
      </c>
      <c r="M39" s="110">
        <v>1080900</v>
      </c>
      <c r="N39" s="110">
        <v>64099</v>
      </c>
      <c r="O39" s="29" t="s">
        <v>4386</v>
      </c>
      <c r="P39" s="126">
        <v>37</v>
      </c>
      <c r="Q39" t="str">
        <f t="shared" si="0"/>
        <v>BLACKBEARDOPERATINGLLC1751RIVERRUNFORTWORTH</v>
      </c>
    </row>
    <row r="40" spans="1:17" x14ac:dyDescent="0.25">
      <c r="A40" s="29"/>
      <c r="B40" s="29"/>
      <c r="C40" s="94" t="s">
        <v>342</v>
      </c>
      <c r="D40" s="93" t="s">
        <v>343</v>
      </c>
      <c r="E40" s="29"/>
      <c r="F40" s="93" t="s">
        <v>344</v>
      </c>
      <c r="G40" s="93" t="s">
        <v>80</v>
      </c>
      <c r="H40" s="93">
        <v>79714</v>
      </c>
      <c r="I40" s="93" t="s">
        <v>62</v>
      </c>
      <c r="J40" s="29"/>
      <c r="K40" s="110">
        <v>0</v>
      </c>
      <c r="L40" s="110">
        <v>3</v>
      </c>
      <c r="M40" s="110">
        <v>12345</v>
      </c>
      <c r="N40" s="110">
        <v>361</v>
      </c>
      <c r="O40" s="29" t="s">
        <v>4386</v>
      </c>
      <c r="P40" s="126">
        <v>38</v>
      </c>
      <c r="Q40" t="str">
        <f t="shared" si="0"/>
        <v>BLACKWELLOPERATINGLLCPOBOX202ANDREWS</v>
      </c>
    </row>
    <row r="41" spans="1:17" x14ac:dyDescent="0.25">
      <c r="A41" s="29"/>
      <c r="B41" s="29" t="s">
        <v>4472</v>
      </c>
      <c r="C41" s="92" t="s">
        <v>345</v>
      </c>
      <c r="D41" s="100" t="s">
        <v>346</v>
      </c>
      <c r="E41" s="29"/>
      <c r="F41" s="93" t="s">
        <v>347</v>
      </c>
      <c r="G41" s="93" t="s">
        <v>184</v>
      </c>
      <c r="H41" s="93">
        <v>73008</v>
      </c>
      <c r="I41" s="93" t="s">
        <v>62</v>
      </c>
      <c r="J41" s="29"/>
      <c r="K41" s="110">
        <v>0</v>
      </c>
      <c r="L41" s="110">
        <v>0</v>
      </c>
      <c r="M41" s="110">
        <v>0</v>
      </c>
      <c r="N41" s="110">
        <v>0</v>
      </c>
      <c r="O41" s="29" t="s">
        <v>4385</v>
      </c>
      <c r="P41" s="126">
        <v>39</v>
      </c>
      <c r="Q41" t="str">
        <f t="shared" si="0"/>
        <v>BLEDSOEPARTNER3908NPENIELBETHANY</v>
      </c>
    </row>
    <row r="42" spans="1:17" x14ac:dyDescent="0.25">
      <c r="A42" s="29"/>
      <c r="B42" s="29"/>
      <c r="C42" s="94" t="s">
        <v>355</v>
      </c>
      <c r="D42" s="93" t="s">
        <v>356</v>
      </c>
      <c r="E42" s="29"/>
      <c r="F42" s="93" t="s">
        <v>153</v>
      </c>
      <c r="G42" s="93" t="s">
        <v>80</v>
      </c>
      <c r="H42" s="93">
        <v>79706</v>
      </c>
      <c r="I42" s="93" t="s">
        <v>62</v>
      </c>
      <c r="J42" s="29"/>
      <c r="K42" s="110">
        <v>3</v>
      </c>
      <c r="L42" s="110">
        <v>3</v>
      </c>
      <c r="M42" s="110">
        <v>2967</v>
      </c>
      <c r="N42" s="110">
        <v>1838</v>
      </c>
      <c r="O42" s="29" t="s">
        <v>4386</v>
      </c>
      <c r="P42" s="126">
        <v>40</v>
      </c>
      <c r="Q42" t="str">
        <f t="shared" si="0"/>
        <v>BLUERUBYOPERATINGLLC7201EASTCR112MIDLAND</v>
      </c>
    </row>
    <row r="43" spans="1:17" x14ac:dyDescent="0.25">
      <c r="A43" s="29"/>
      <c r="B43" s="29"/>
      <c r="C43" s="94" t="s">
        <v>357</v>
      </c>
      <c r="D43" s="93" t="s">
        <v>293</v>
      </c>
      <c r="E43" s="29"/>
      <c r="F43" s="93" t="s">
        <v>206</v>
      </c>
      <c r="G43" s="93" t="s">
        <v>84</v>
      </c>
      <c r="H43" s="93">
        <v>88240</v>
      </c>
      <c r="I43" s="93" t="s">
        <v>62</v>
      </c>
      <c r="J43" s="29"/>
      <c r="K43" s="110">
        <v>0</v>
      </c>
      <c r="L43" s="110">
        <v>1</v>
      </c>
      <c r="M43" s="110">
        <v>0</v>
      </c>
      <c r="N43" s="110">
        <v>4808</v>
      </c>
      <c r="O43" s="29" t="s">
        <v>4386</v>
      </c>
      <c r="P43" s="126">
        <v>41</v>
      </c>
      <c r="Q43" t="str">
        <f t="shared" si="0"/>
        <v>BOBBYMCKAYDBA5AOILCOMPANY1008WESTBROADWAYHOBBS</v>
      </c>
    </row>
    <row r="44" spans="1:17" x14ac:dyDescent="0.25">
      <c r="A44" s="29"/>
      <c r="B44" s="29"/>
      <c r="C44" s="94" t="s">
        <v>358</v>
      </c>
      <c r="D44" s="93" t="s">
        <v>359</v>
      </c>
      <c r="E44" s="29"/>
      <c r="F44" s="93" t="s">
        <v>79</v>
      </c>
      <c r="G44" s="93" t="s">
        <v>80</v>
      </c>
      <c r="H44" s="93">
        <v>79424</v>
      </c>
      <c r="I44" s="93" t="s">
        <v>62</v>
      </c>
      <c r="J44" s="29"/>
      <c r="K44" s="110">
        <v>0</v>
      </c>
      <c r="L44" s="110">
        <v>4</v>
      </c>
      <c r="M44" s="110">
        <v>13545</v>
      </c>
      <c r="N44" s="110">
        <v>8069</v>
      </c>
      <c r="O44" s="29" t="s">
        <v>4386</v>
      </c>
      <c r="P44" s="126">
        <v>42</v>
      </c>
      <c r="Q44" t="str">
        <f t="shared" si="0"/>
        <v>BOGEINC5109CR7640LUBBOCK</v>
      </c>
    </row>
    <row r="45" spans="1:17" x14ac:dyDescent="0.25">
      <c r="A45" s="29"/>
      <c r="B45" s="29" t="s">
        <v>4472</v>
      </c>
      <c r="C45" s="92" t="s">
        <v>360</v>
      </c>
      <c r="D45" s="100" t="s">
        <v>361</v>
      </c>
      <c r="E45" s="29"/>
      <c r="F45" s="93" t="s">
        <v>362</v>
      </c>
      <c r="G45" s="93" t="s">
        <v>61</v>
      </c>
      <c r="H45" s="93">
        <v>80112</v>
      </c>
      <c r="I45" s="93" t="s">
        <v>62</v>
      </c>
      <c r="J45" s="29"/>
      <c r="K45" s="110">
        <v>0</v>
      </c>
      <c r="L45" s="110">
        <v>0</v>
      </c>
      <c r="M45" s="110">
        <v>0</v>
      </c>
      <c r="N45" s="110">
        <v>0</v>
      </c>
      <c r="O45" s="29" t="s">
        <v>4385</v>
      </c>
      <c r="P45" s="126">
        <v>43</v>
      </c>
      <c r="Q45" t="str">
        <f t="shared" si="0"/>
        <v>BONNEVILLEFUELSCORPORATION155INVERNESSDRWESTENGLEWOOD</v>
      </c>
    </row>
    <row r="46" spans="1:17" x14ac:dyDescent="0.25">
      <c r="A46" s="29"/>
      <c r="B46" s="29" t="s">
        <v>4472</v>
      </c>
      <c r="C46" s="92" t="s">
        <v>363</v>
      </c>
      <c r="D46" s="98" t="s">
        <v>364</v>
      </c>
      <c r="E46" s="29"/>
      <c r="F46" s="98" t="s">
        <v>153</v>
      </c>
      <c r="G46" s="98" t="s">
        <v>80</v>
      </c>
      <c r="H46" s="98" t="s">
        <v>365</v>
      </c>
      <c r="I46" s="93" t="s">
        <v>62</v>
      </c>
      <c r="J46" s="29"/>
      <c r="K46" s="110">
        <v>0</v>
      </c>
      <c r="L46" s="110">
        <v>0</v>
      </c>
      <c r="M46" s="110">
        <v>0</v>
      </c>
      <c r="N46" s="110">
        <v>0</v>
      </c>
      <c r="O46" s="29" t="s">
        <v>4385</v>
      </c>
      <c r="P46" s="126">
        <v>44</v>
      </c>
      <c r="Q46" t="str">
        <f t="shared" si="0"/>
        <v>BOPCOLP6401HOLIDAYHILLRDMIDLAND</v>
      </c>
    </row>
    <row r="47" spans="1:17" x14ac:dyDescent="0.25">
      <c r="A47" s="29" t="s">
        <v>4478</v>
      </c>
      <c r="B47" s="29" t="s">
        <v>4479</v>
      </c>
      <c r="C47" s="99" t="s">
        <v>375</v>
      </c>
      <c r="D47" s="93" t="s">
        <v>376</v>
      </c>
      <c r="E47" s="93" t="s">
        <v>377</v>
      </c>
      <c r="F47" s="93" t="s">
        <v>378</v>
      </c>
      <c r="G47" s="93" t="s">
        <v>80</v>
      </c>
      <c r="H47" s="93" t="s">
        <v>379</v>
      </c>
      <c r="I47" s="93" t="s">
        <v>62</v>
      </c>
      <c r="J47" s="29"/>
      <c r="K47" s="110">
        <v>0</v>
      </c>
      <c r="L47" s="110">
        <v>0</v>
      </c>
      <c r="M47" s="110">
        <v>0</v>
      </c>
      <c r="N47" s="110">
        <v>0</v>
      </c>
      <c r="O47" s="29" t="s">
        <v>4385</v>
      </c>
      <c r="P47" s="126">
        <v>45</v>
      </c>
      <c r="Q47" t="str">
        <f t="shared" si="0"/>
        <v>BPAMERICAPRODUCTIONCOMPANY1950NSTEMMONSFRWYSUITE5010DALLAS</v>
      </c>
    </row>
    <row r="48" spans="1:17" x14ac:dyDescent="0.25">
      <c r="A48" s="29"/>
      <c r="B48" s="29"/>
      <c r="C48" s="102" t="s">
        <v>380</v>
      </c>
      <c r="D48" s="93" t="s">
        <v>381</v>
      </c>
      <c r="E48" s="29"/>
      <c r="F48" s="93" t="s">
        <v>382</v>
      </c>
      <c r="G48" s="93" t="s">
        <v>61</v>
      </c>
      <c r="H48" s="93">
        <v>81301</v>
      </c>
      <c r="I48" s="93" t="s">
        <v>62</v>
      </c>
      <c r="J48" s="29"/>
      <c r="K48" s="110">
        <v>64</v>
      </c>
      <c r="L48" s="110">
        <v>20</v>
      </c>
      <c r="M48" s="110">
        <v>4016686</v>
      </c>
      <c r="N48" s="110">
        <v>6215</v>
      </c>
      <c r="O48" s="29" t="s">
        <v>4386</v>
      </c>
      <c r="P48" s="126">
        <v>46</v>
      </c>
      <c r="Q48" t="str">
        <f t="shared" si="0"/>
        <v>BPAMERICAPRODUCTIONCOMPANY1199MAINAVENUEDURANGO</v>
      </c>
    </row>
    <row r="49" spans="1:17" x14ac:dyDescent="0.25">
      <c r="A49" s="29"/>
      <c r="B49" s="29" t="s">
        <v>4472</v>
      </c>
      <c r="C49" s="92" t="s">
        <v>383</v>
      </c>
      <c r="D49" s="93" t="s">
        <v>384</v>
      </c>
      <c r="E49" s="29"/>
      <c r="F49" s="93" t="s">
        <v>385</v>
      </c>
      <c r="G49" s="93" t="s">
        <v>262</v>
      </c>
      <c r="H49" s="93">
        <v>60555</v>
      </c>
      <c r="I49" s="93" t="s">
        <v>62</v>
      </c>
      <c r="J49" s="29"/>
      <c r="K49" s="110">
        <v>0</v>
      </c>
      <c r="L49" s="110">
        <v>0</v>
      </c>
      <c r="M49" s="110">
        <v>0</v>
      </c>
      <c r="N49" s="110">
        <v>0</v>
      </c>
      <c r="O49" s="29" t="s">
        <v>4385</v>
      </c>
      <c r="P49" s="126">
        <v>47</v>
      </c>
      <c r="Q49" t="str">
        <f t="shared" si="0"/>
        <v>BPPIPELINES(NORTHAMERICA)INC28100TORCHPKWYWARRENVILLE</v>
      </c>
    </row>
    <row r="50" spans="1:17" x14ac:dyDescent="0.25">
      <c r="A50" s="29"/>
      <c r="B50" s="29"/>
      <c r="C50" s="94" t="s">
        <v>399</v>
      </c>
      <c r="D50" s="93" t="s">
        <v>400</v>
      </c>
      <c r="E50" s="29"/>
      <c r="F50" s="93" t="s">
        <v>401</v>
      </c>
      <c r="G50" s="93" t="s">
        <v>80</v>
      </c>
      <c r="H50" s="93">
        <v>79336</v>
      </c>
      <c r="I50" s="93" t="s">
        <v>62</v>
      </c>
      <c r="J50" s="29"/>
      <c r="K50" s="110">
        <v>0</v>
      </c>
      <c r="L50" s="110">
        <v>2</v>
      </c>
      <c r="M50" s="110">
        <v>10135</v>
      </c>
      <c r="N50" s="110">
        <v>0</v>
      </c>
      <c r="O50" s="29" t="s">
        <v>4386</v>
      </c>
      <c r="P50" s="126">
        <v>48</v>
      </c>
      <c r="Q50" t="str">
        <f t="shared" si="0"/>
        <v>BRADLEYMCINROEDBABIGALOIL&amp;GASPOBOX669LEVELLAND</v>
      </c>
    </row>
    <row r="51" spans="1:17" x14ac:dyDescent="0.25">
      <c r="A51" s="29"/>
      <c r="B51" s="29"/>
      <c r="C51" s="94" t="s">
        <v>402</v>
      </c>
      <c r="D51" s="93" t="s">
        <v>403</v>
      </c>
      <c r="E51" s="29"/>
      <c r="F51" s="93" t="s">
        <v>112</v>
      </c>
      <c r="G51" s="93" t="s">
        <v>80</v>
      </c>
      <c r="H51" s="93">
        <v>77002</v>
      </c>
      <c r="I51" s="93" t="s">
        <v>62</v>
      </c>
      <c r="J51" s="29"/>
      <c r="K51" s="110">
        <v>17</v>
      </c>
      <c r="L51" s="110">
        <v>115</v>
      </c>
      <c r="M51" s="110">
        <v>1733698</v>
      </c>
      <c r="N51" s="110">
        <v>329156</v>
      </c>
      <c r="O51" s="29" t="s">
        <v>4386</v>
      </c>
      <c r="P51" s="126">
        <v>49</v>
      </c>
      <c r="Q51" t="str">
        <f t="shared" si="0"/>
        <v>BREITBURNOPERATINGLP111BAGBYSTHOUSTON</v>
      </c>
    </row>
    <row r="52" spans="1:17" x14ac:dyDescent="0.25">
      <c r="A52" s="29"/>
      <c r="B52" s="29"/>
      <c r="C52" s="94" t="s">
        <v>414</v>
      </c>
      <c r="D52" s="93" t="s">
        <v>415</v>
      </c>
      <c r="E52" s="29"/>
      <c r="F52" s="93" t="s">
        <v>329</v>
      </c>
      <c r="G52" s="93" t="s">
        <v>61</v>
      </c>
      <c r="H52" s="93">
        <v>80120</v>
      </c>
      <c r="I52" s="93" t="s">
        <v>62</v>
      </c>
      <c r="J52" s="29"/>
      <c r="K52" s="110">
        <v>1</v>
      </c>
      <c r="L52" s="110">
        <v>3</v>
      </c>
      <c r="M52" s="110">
        <v>28155</v>
      </c>
      <c r="N52" s="110">
        <v>14106</v>
      </c>
      <c r="O52" s="29" t="s">
        <v>4386</v>
      </c>
      <c r="P52" s="126">
        <v>50</v>
      </c>
      <c r="Q52" t="str">
        <f t="shared" si="0"/>
        <v>BRIDGECREEKRESOURCES(COLORADO)LLC8100SOUTHPARKWAYLITTLETON</v>
      </c>
    </row>
    <row r="53" spans="1:17" x14ac:dyDescent="0.25">
      <c r="A53" s="29"/>
      <c r="B53" s="29"/>
      <c r="C53" s="94" t="s">
        <v>416</v>
      </c>
      <c r="D53" s="93" t="s">
        <v>417</v>
      </c>
      <c r="E53" s="29"/>
      <c r="F53" s="93" t="s">
        <v>418</v>
      </c>
      <c r="G53" s="93" t="s">
        <v>80</v>
      </c>
      <c r="H53" s="93">
        <v>76307</v>
      </c>
      <c r="I53" s="93" t="s">
        <v>62</v>
      </c>
      <c r="J53" s="29"/>
      <c r="K53" s="110">
        <v>0</v>
      </c>
      <c r="L53" s="110">
        <v>4</v>
      </c>
      <c r="M53" s="110">
        <v>20917</v>
      </c>
      <c r="N53" s="110">
        <v>4120</v>
      </c>
      <c r="O53" s="29" t="s">
        <v>4386</v>
      </c>
      <c r="P53" s="126">
        <v>51</v>
      </c>
      <c r="Q53" t="str">
        <f t="shared" si="0"/>
        <v>BRIDWELLOILCOPODRAWER1830WICHITAFALLS</v>
      </c>
    </row>
    <row r="54" spans="1:17" x14ac:dyDescent="0.25">
      <c r="A54" s="29"/>
      <c r="B54" s="29"/>
      <c r="C54" s="112" t="s">
        <v>4480</v>
      </c>
      <c r="D54" s="93" t="s">
        <v>429</v>
      </c>
      <c r="E54" s="29"/>
      <c r="F54" s="93" t="s">
        <v>303</v>
      </c>
      <c r="G54" s="93" t="s">
        <v>80</v>
      </c>
      <c r="H54" s="93" t="s">
        <v>430</v>
      </c>
      <c r="I54" s="93" t="s">
        <v>62</v>
      </c>
      <c r="J54" s="29"/>
      <c r="K54" s="110">
        <v>93</v>
      </c>
      <c r="L54" s="110">
        <v>59</v>
      </c>
      <c r="M54" s="110">
        <v>35441176</v>
      </c>
      <c r="N54" s="110">
        <v>6883725</v>
      </c>
      <c r="O54" s="29" t="s">
        <v>4386</v>
      </c>
      <c r="P54" s="126">
        <v>52</v>
      </c>
      <c r="Q54" t="str">
        <f t="shared" si="0"/>
        <v>BTAOILPRODUCERSLLC104SOUTHPECOSSTMIDLAND</v>
      </c>
    </row>
    <row r="55" spans="1:17" x14ac:dyDescent="0.25">
      <c r="A55" s="29"/>
      <c r="B55" s="29"/>
      <c r="C55" s="94" t="s">
        <v>435</v>
      </c>
      <c r="D55" s="93" t="s">
        <v>436</v>
      </c>
      <c r="E55" s="29"/>
      <c r="F55" s="93" t="s">
        <v>437</v>
      </c>
      <c r="G55" s="93" t="s">
        <v>80</v>
      </c>
      <c r="H55" s="93">
        <v>75606</v>
      </c>
      <c r="I55" s="93" t="s">
        <v>62</v>
      </c>
      <c r="J55" s="29"/>
      <c r="K55" s="110">
        <v>1</v>
      </c>
      <c r="L55" s="110">
        <v>0</v>
      </c>
      <c r="M55" s="110">
        <v>505</v>
      </c>
      <c r="N55" s="110">
        <v>0</v>
      </c>
      <c r="O55" s="29" t="s">
        <v>4386</v>
      </c>
      <c r="P55" s="126">
        <v>53</v>
      </c>
      <c r="Q55" t="str">
        <f t="shared" si="0"/>
        <v>BUFFCOPRODUCTIONINCPOBOX2243LONGVIEW</v>
      </c>
    </row>
    <row r="56" spans="1:17" x14ac:dyDescent="0.25">
      <c r="A56" s="29"/>
      <c r="B56" s="29"/>
      <c r="C56" s="94" t="s">
        <v>443</v>
      </c>
      <c r="D56" s="93" t="s">
        <v>444</v>
      </c>
      <c r="E56" s="29"/>
      <c r="F56" s="93" t="s">
        <v>153</v>
      </c>
      <c r="G56" s="93" t="s">
        <v>80</v>
      </c>
      <c r="H56" s="93">
        <v>79701</v>
      </c>
      <c r="I56" s="93" t="s">
        <v>62</v>
      </c>
      <c r="J56" s="29"/>
      <c r="K56" s="110">
        <v>4</v>
      </c>
      <c r="L56" s="110">
        <v>81</v>
      </c>
      <c r="M56" s="110">
        <v>242349</v>
      </c>
      <c r="N56" s="110">
        <v>62887</v>
      </c>
      <c r="O56" s="29" t="s">
        <v>4386</v>
      </c>
      <c r="P56" s="126">
        <v>54</v>
      </c>
      <c r="Q56" t="str">
        <f t="shared" si="0"/>
        <v>BURGUNDYOIL&amp;GASOFNMINC505NBIGSPRINGSTMIDLAND</v>
      </c>
    </row>
    <row r="57" spans="1:17" x14ac:dyDescent="0.25">
      <c r="A57" s="29"/>
      <c r="B57" s="29"/>
      <c r="C57" s="94" t="s">
        <v>451</v>
      </c>
      <c r="D57" s="93" t="s">
        <v>452</v>
      </c>
      <c r="E57" s="29"/>
      <c r="F57" s="93" t="s">
        <v>418</v>
      </c>
      <c r="G57" s="93" t="s">
        <v>80</v>
      </c>
      <c r="H57" s="93">
        <v>76308</v>
      </c>
      <c r="I57" s="93" t="s">
        <v>62</v>
      </c>
      <c r="J57" s="29"/>
      <c r="K57" s="110">
        <v>2</v>
      </c>
      <c r="L57" s="110">
        <v>7</v>
      </c>
      <c r="M57" s="110">
        <v>512</v>
      </c>
      <c r="N57" s="110">
        <v>24746</v>
      </c>
      <c r="O57" s="29" t="s">
        <v>4386</v>
      </c>
      <c r="P57" s="126">
        <v>55</v>
      </c>
      <c r="Q57" t="str">
        <f t="shared" si="0"/>
        <v>BURKROYALTYCOLTDPOBOX94903WICHITAFALLS</v>
      </c>
    </row>
    <row r="58" spans="1:17" x14ac:dyDescent="0.25">
      <c r="A58" s="29"/>
      <c r="B58" s="29" t="s">
        <v>4472</v>
      </c>
      <c r="C58" s="92" t="s">
        <v>458</v>
      </c>
      <c r="D58" s="100" t="s">
        <v>459</v>
      </c>
      <c r="E58" s="29"/>
      <c r="F58" s="93" t="s">
        <v>123</v>
      </c>
      <c r="G58" s="93" t="s">
        <v>460</v>
      </c>
      <c r="H58" s="93">
        <v>87499</v>
      </c>
      <c r="I58" s="93" t="s">
        <v>62</v>
      </c>
      <c r="J58" s="29"/>
      <c r="K58" s="110">
        <v>0</v>
      </c>
      <c r="L58" s="110">
        <v>0</v>
      </c>
      <c r="M58" s="110">
        <v>0</v>
      </c>
      <c r="N58" s="110">
        <v>0</v>
      </c>
      <c r="O58" s="29" t="s">
        <v>4385</v>
      </c>
      <c r="P58" s="126">
        <v>56</v>
      </c>
      <c r="Q58" t="str">
        <f t="shared" si="0"/>
        <v>BURLINGTONRESOURCESOIL&amp;GASPOBOX4289FARMINGTON</v>
      </c>
    </row>
    <row r="59" spans="1:17" x14ac:dyDescent="0.25">
      <c r="A59" s="29"/>
      <c r="B59" s="29"/>
      <c r="C59" s="112" t="s">
        <v>4481</v>
      </c>
      <c r="D59" s="93" t="s">
        <v>462</v>
      </c>
      <c r="E59" s="29"/>
      <c r="F59" s="93" t="s">
        <v>88</v>
      </c>
      <c r="G59" s="93" t="s">
        <v>80</v>
      </c>
      <c r="H59" s="93">
        <v>76102</v>
      </c>
      <c r="I59" s="93" t="s">
        <v>62</v>
      </c>
      <c r="J59" s="29"/>
      <c r="K59" s="110">
        <v>70</v>
      </c>
      <c r="L59" s="110">
        <v>114</v>
      </c>
      <c r="M59" s="110">
        <v>5212447</v>
      </c>
      <c r="N59" s="110">
        <v>851328</v>
      </c>
      <c r="O59" s="29" t="s">
        <v>4386</v>
      </c>
      <c r="P59" s="126">
        <v>57</v>
      </c>
      <c r="Q59" t="str">
        <f t="shared" si="0"/>
        <v>BURNETTOILCOINC801CHERRYSTREETFORTWORTH</v>
      </c>
    </row>
    <row r="60" spans="1:17" x14ac:dyDescent="0.25">
      <c r="A60" s="29"/>
      <c r="B60" s="29"/>
      <c r="C60" s="94" t="s">
        <v>468</v>
      </c>
      <c r="D60" s="93" t="s">
        <v>469</v>
      </c>
      <c r="E60" s="29"/>
      <c r="F60" s="93" t="s">
        <v>378</v>
      </c>
      <c r="G60" s="93" t="s">
        <v>80</v>
      </c>
      <c r="H60" s="93">
        <v>75209</v>
      </c>
      <c r="I60" s="93" t="s">
        <v>62</v>
      </c>
      <c r="J60" s="29"/>
      <c r="K60" s="110">
        <v>50</v>
      </c>
      <c r="L60" s="110">
        <v>319</v>
      </c>
      <c r="M60" s="110">
        <v>1286329</v>
      </c>
      <c r="N60" s="110">
        <v>700724</v>
      </c>
      <c r="O60" s="29" t="s">
        <v>4386</v>
      </c>
      <c r="P60" s="126">
        <v>58</v>
      </c>
      <c r="Q60" t="str">
        <f t="shared" si="0"/>
        <v>BXPOPERATINGLLCPOBOX7227DALLAS</v>
      </c>
    </row>
    <row r="61" spans="1:17" x14ac:dyDescent="0.25">
      <c r="A61" s="29"/>
      <c r="B61" s="29"/>
      <c r="C61" s="94" t="s">
        <v>476</v>
      </c>
      <c r="D61" s="93" t="s">
        <v>477</v>
      </c>
      <c r="E61" s="29"/>
      <c r="F61" s="93" t="s">
        <v>83</v>
      </c>
      <c r="G61" s="93" t="s">
        <v>84</v>
      </c>
      <c r="H61" s="93">
        <v>88211</v>
      </c>
      <c r="I61" s="93" t="s">
        <v>62</v>
      </c>
      <c r="J61" s="29"/>
      <c r="K61" s="110">
        <v>0</v>
      </c>
      <c r="L61" s="110">
        <v>14</v>
      </c>
      <c r="M61" s="110">
        <v>0</v>
      </c>
      <c r="N61" s="110">
        <v>3030</v>
      </c>
      <c r="O61" s="29" t="s">
        <v>4386</v>
      </c>
      <c r="P61" s="126">
        <v>59</v>
      </c>
      <c r="Q61" t="str">
        <f t="shared" si="0"/>
        <v>COFULTONPOBOX1176ARTESIA</v>
      </c>
    </row>
    <row r="62" spans="1:17" x14ac:dyDescent="0.25">
      <c r="A62" s="29"/>
      <c r="B62" s="29"/>
      <c r="C62" s="94" t="s">
        <v>484</v>
      </c>
      <c r="D62" s="93" t="s">
        <v>485</v>
      </c>
      <c r="E62" s="29"/>
      <c r="F62" s="93" t="s">
        <v>486</v>
      </c>
      <c r="G62" s="93" t="s">
        <v>487</v>
      </c>
      <c r="H62" s="93">
        <v>42129</v>
      </c>
      <c r="I62" s="93" t="s">
        <v>62</v>
      </c>
      <c r="J62" s="29"/>
      <c r="K62" s="110">
        <v>1</v>
      </c>
      <c r="L62" s="110">
        <v>1</v>
      </c>
      <c r="M62" s="110">
        <v>0</v>
      </c>
      <c r="N62" s="110">
        <v>108</v>
      </c>
      <c r="O62" s="29" t="s">
        <v>4386</v>
      </c>
      <c r="P62" s="126">
        <v>60</v>
      </c>
      <c r="Q62" t="str">
        <f t="shared" si="0"/>
        <v>C&amp;DMANAGEMENTCOMPANYDBAFREEDOMVENTURES513DONLYLEROADEDMONTON</v>
      </c>
    </row>
    <row r="63" spans="1:17" x14ac:dyDescent="0.25">
      <c r="A63" s="29"/>
      <c r="B63" s="29"/>
      <c r="C63" s="94" t="s">
        <v>498</v>
      </c>
      <c r="D63" s="93" t="s">
        <v>499</v>
      </c>
      <c r="E63" s="29"/>
      <c r="F63" s="93" t="s">
        <v>153</v>
      </c>
      <c r="G63" s="93" t="s">
        <v>80</v>
      </c>
      <c r="H63" s="93">
        <v>79701</v>
      </c>
      <c r="I63" s="93" t="s">
        <v>62</v>
      </c>
      <c r="J63" s="29"/>
      <c r="K63" s="110">
        <v>1</v>
      </c>
      <c r="L63" s="110">
        <v>8</v>
      </c>
      <c r="M63" s="110">
        <v>25159</v>
      </c>
      <c r="N63" s="110">
        <v>18795</v>
      </c>
      <c r="O63" s="29" t="s">
        <v>4386</v>
      </c>
      <c r="P63" s="126">
        <v>61</v>
      </c>
      <c r="Q63" t="str">
        <f t="shared" si="0"/>
        <v>CAMBRIANMANAGEMENTLTDPOBOX272MIDLAND</v>
      </c>
    </row>
    <row r="64" spans="1:17" x14ac:dyDescent="0.25">
      <c r="A64" s="29"/>
      <c r="B64" s="29"/>
      <c r="C64" s="94" t="s">
        <v>511</v>
      </c>
      <c r="D64" s="93" t="s">
        <v>512</v>
      </c>
      <c r="E64" s="29"/>
      <c r="F64" s="93" t="s">
        <v>513</v>
      </c>
      <c r="G64" s="93" t="s">
        <v>84</v>
      </c>
      <c r="H64" s="93">
        <v>88231</v>
      </c>
      <c r="I64" s="93" t="s">
        <v>62</v>
      </c>
      <c r="J64" s="29"/>
      <c r="K64" s="110">
        <v>0</v>
      </c>
      <c r="L64" s="110">
        <v>80</v>
      </c>
      <c r="M64" s="110">
        <v>149421</v>
      </c>
      <c r="N64" s="110">
        <v>32116</v>
      </c>
      <c r="O64" s="29" t="s">
        <v>4386</v>
      </c>
      <c r="P64" s="126">
        <v>62</v>
      </c>
      <c r="Q64" t="str">
        <f t="shared" si="0"/>
        <v>CAMERONOIL&amp;GASINCPOBOX1089EUNICE</v>
      </c>
    </row>
    <row r="65" spans="1:17" x14ac:dyDescent="0.25">
      <c r="A65" s="29"/>
      <c r="B65" s="29"/>
      <c r="C65" s="94" t="s">
        <v>520</v>
      </c>
      <c r="D65" s="93" t="s">
        <v>462</v>
      </c>
      <c r="E65" s="29"/>
      <c r="F65" s="93" t="s">
        <v>88</v>
      </c>
      <c r="G65" s="93" t="s">
        <v>80</v>
      </c>
      <c r="H65" s="93">
        <v>76102</v>
      </c>
      <c r="I65" s="93" t="s">
        <v>62</v>
      </c>
      <c r="J65" s="29"/>
      <c r="K65" s="110">
        <v>0</v>
      </c>
      <c r="L65" s="110">
        <v>12</v>
      </c>
      <c r="M65" s="110">
        <v>0</v>
      </c>
      <c r="N65" s="110">
        <v>2643</v>
      </c>
      <c r="O65" s="29" t="s">
        <v>4386</v>
      </c>
      <c r="P65" s="126">
        <v>63</v>
      </c>
      <c r="Q65" t="str">
        <f t="shared" si="0"/>
        <v>CANOPETROOFNEWMEXICOINC801CHERRYSTREETFORTWORTH</v>
      </c>
    </row>
    <row r="66" spans="1:17" x14ac:dyDescent="0.25">
      <c r="A66" s="29"/>
      <c r="B66" s="29"/>
      <c r="C66" s="94" t="s">
        <v>521</v>
      </c>
      <c r="D66" s="93" t="s">
        <v>522</v>
      </c>
      <c r="E66" s="29"/>
      <c r="F66" s="93" t="s">
        <v>523</v>
      </c>
      <c r="G66" s="93" t="s">
        <v>80</v>
      </c>
      <c r="H66" s="93">
        <v>79760</v>
      </c>
      <c r="I66" s="93" t="s">
        <v>62</v>
      </c>
      <c r="J66" s="29"/>
      <c r="K66" s="110">
        <v>1</v>
      </c>
      <c r="L66" s="110">
        <v>0</v>
      </c>
      <c r="M66" s="110">
        <v>0</v>
      </c>
      <c r="N66" s="110">
        <v>47</v>
      </c>
      <c r="O66" s="29" t="s">
        <v>4386</v>
      </c>
      <c r="P66" s="126">
        <v>64</v>
      </c>
      <c r="Q66" t="str">
        <f t="shared" si="0"/>
        <v>CAPROCKEXPLORATIONINCPOBOX7288ODESSA</v>
      </c>
    </row>
    <row r="67" spans="1:17" x14ac:dyDescent="0.25">
      <c r="A67" s="29"/>
      <c r="B67" s="29"/>
      <c r="C67" s="94" t="s">
        <v>530</v>
      </c>
      <c r="D67" s="93" t="s">
        <v>531</v>
      </c>
      <c r="E67" s="29"/>
      <c r="F67" s="93" t="s">
        <v>532</v>
      </c>
      <c r="G67" s="93" t="s">
        <v>80</v>
      </c>
      <c r="H67" s="93">
        <v>78259</v>
      </c>
      <c r="I67" s="93" t="s">
        <v>62</v>
      </c>
      <c r="J67" s="29"/>
      <c r="K67" s="110">
        <v>25</v>
      </c>
      <c r="L67" s="110">
        <v>24</v>
      </c>
      <c r="M67" s="110">
        <v>702624</v>
      </c>
      <c r="N67" s="110">
        <v>412905</v>
      </c>
      <c r="O67" s="29" t="s">
        <v>4386</v>
      </c>
      <c r="P67" s="126">
        <v>65</v>
      </c>
      <c r="Q67" t="str">
        <f t="shared" si="0"/>
        <v>CATENARESOURCESOPERATINGLLC18402USHWY281NSANANTONIO</v>
      </c>
    </row>
    <row r="68" spans="1:17" x14ac:dyDescent="0.25">
      <c r="A68" s="29"/>
      <c r="B68" s="29"/>
      <c r="C68" s="94" t="s">
        <v>539</v>
      </c>
      <c r="D68" s="93" t="s">
        <v>540</v>
      </c>
      <c r="E68" s="29"/>
      <c r="F68" s="93" t="s">
        <v>303</v>
      </c>
      <c r="G68" s="93" t="s">
        <v>80</v>
      </c>
      <c r="H68" s="93">
        <v>79701</v>
      </c>
      <c r="I68" s="93" t="s">
        <v>62</v>
      </c>
      <c r="J68" s="29"/>
      <c r="K68" s="110">
        <v>34</v>
      </c>
      <c r="L68" s="110">
        <v>7</v>
      </c>
      <c r="M68" s="110">
        <v>6261260</v>
      </c>
      <c r="N68" s="110">
        <v>2318617</v>
      </c>
      <c r="O68" s="29" t="s">
        <v>4386</v>
      </c>
      <c r="P68" s="126">
        <v>66</v>
      </c>
      <c r="Q68" t="str">
        <f t="shared" ref="Q68:Q131" si="1">UPPER(SUBSTITUTE(SUBSTITUTE(SUBSTITUTE(SUBSTITUTE(C68&amp;D68&amp;F68," ",""),".",""),",",""),"-",""))</f>
        <v>CAZAOPERATINGLLC200NLORAINESTMIDLAND</v>
      </c>
    </row>
    <row r="69" spans="1:17" x14ac:dyDescent="0.25">
      <c r="A69" s="29"/>
      <c r="B69" s="29" t="s">
        <v>4472</v>
      </c>
      <c r="C69" s="92" t="s">
        <v>546</v>
      </c>
      <c r="D69" s="93" t="s">
        <v>547</v>
      </c>
      <c r="E69" s="29"/>
      <c r="F69" s="93" t="s">
        <v>548</v>
      </c>
      <c r="G69" s="93" t="s">
        <v>84</v>
      </c>
      <c r="H69" s="93">
        <v>87417</v>
      </c>
      <c r="I69" s="93" t="s">
        <v>62</v>
      </c>
      <c r="J69" s="29"/>
      <c r="K69" s="110">
        <v>0</v>
      </c>
      <c r="L69" s="110">
        <v>0</v>
      </c>
      <c r="M69" s="110">
        <v>0</v>
      </c>
      <c r="N69" s="110">
        <v>0</v>
      </c>
      <c r="O69" s="29" t="s">
        <v>4385</v>
      </c>
      <c r="P69" s="126">
        <v>67</v>
      </c>
      <c r="Q69" t="str">
        <f t="shared" si="1"/>
        <v>CCISANJUANLLC99ROAD6500KIRTLAND</v>
      </c>
    </row>
    <row r="70" spans="1:17" x14ac:dyDescent="0.25">
      <c r="A70" s="29"/>
      <c r="B70" s="29" t="s">
        <v>4472</v>
      </c>
      <c r="C70" s="92" t="s">
        <v>552</v>
      </c>
      <c r="D70" s="100" t="s">
        <v>553</v>
      </c>
      <c r="E70" s="29"/>
      <c r="F70" s="93" t="s">
        <v>153</v>
      </c>
      <c r="G70" s="93" t="s">
        <v>80</v>
      </c>
      <c r="H70" s="93">
        <v>79701</v>
      </c>
      <c r="I70" s="93" t="s">
        <v>62</v>
      </c>
      <c r="J70" s="29"/>
      <c r="K70" s="110">
        <v>0</v>
      </c>
      <c r="L70" s="110">
        <v>0</v>
      </c>
      <c r="M70" s="110">
        <v>0</v>
      </c>
      <c r="N70" s="110">
        <v>0</v>
      </c>
      <c r="O70" s="29" t="s">
        <v>4385</v>
      </c>
      <c r="P70" s="126">
        <v>68</v>
      </c>
      <c r="Q70" t="str">
        <f t="shared" si="1"/>
        <v>CENTENNIALRESOURCEDEVELOPMENTINC500WILLINOISSTMIDLAND</v>
      </c>
    </row>
    <row r="71" spans="1:17" x14ac:dyDescent="0.25">
      <c r="A71" s="29"/>
      <c r="B71" s="29"/>
      <c r="C71" s="94" t="s">
        <v>558</v>
      </c>
      <c r="D71" s="93" t="s">
        <v>559</v>
      </c>
      <c r="E71" s="29"/>
      <c r="F71" s="93" t="s">
        <v>60</v>
      </c>
      <c r="G71" s="93" t="s">
        <v>61</v>
      </c>
      <c r="H71" s="93">
        <v>80202</v>
      </c>
      <c r="I71" s="93" t="s">
        <v>62</v>
      </c>
      <c r="J71" s="29"/>
      <c r="K71" s="110">
        <v>62</v>
      </c>
      <c r="L71" s="110">
        <v>6</v>
      </c>
      <c r="M71" s="110">
        <v>9171846</v>
      </c>
      <c r="N71" s="110">
        <v>5114455</v>
      </c>
      <c r="O71" s="29" t="s">
        <v>4386</v>
      </c>
      <c r="P71" s="126">
        <v>69</v>
      </c>
      <c r="Q71" t="str">
        <f t="shared" si="1"/>
        <v>CENTENNIALRESOURCEPRODUCTIONLLC100117THSTREETDENVER</v>
      </c>
    </row>
    <row r="72" spans="1:17" x14ac:dyDescent="0.25">
      <c r="A72" s="29"/>
      <c r="B72" s="29" t="s">
        <v>4472</v>
      </c>
      <c r="C72" s="92" t="s">
        <v>567</v>
      </c>
      <c r="D72" s="100" t="s">
        <v>568</v>
      </c>
      <c r="E72" s="29"/>
      <c r="F72" s="93" t="s">
        <v>112</v>
      </c>
      <c r="G72" s="93" t="s">
        <v>80</v>
      </c>
      <c r="H72" s="93">
        <v>77042</v>
      </c>
      <c r="I72" s="93" t="s">
        <v>62</v>
      </c>
      <c r="J72" s="29"/>
      <c r="K72" s="110">
        <v>0</v>
      </c>
      <c r="L72" s="110">
        <v>0</v>
      </c>
      <c r="M72" s="110">
        <v>0</v>
      </c>
      <c r="N72" s="110">
        <v>0</v>
      </c>
      <c r="O72" s="29" t="s">
        <v>4385</v>
      </c>
      <c r="P72" s="126">
        <v>70</v>
      </c>
      <c r="Q72" t="str">
        <f t="shared" si="1"/>
        <v>CENTURIONENERGYTRANSPORTATION3600WESTSAMHOUSTONPKWYSOUTHHOUSTON</v>
      </c>
    </row>
    <row r="73" spans="1:17" x14ac:dyDescent="0.25">
      <c r="A73" s="29"/>
      <c r="B73" s="29"/>
      <c r="C73" s="94" t="s">
        <v>574</v>
      </c>
      <c r="D73" s="93" t="s">
        <v>477</v>
      </c>
      <c r="E73" s="29"/>
      <c r="F73" s="93" t="s">
        <v>83</v>
      </c>
      <c r="G73" s="93" t="s">
        <v>84</v>
      </c>
      <c r="H73" s="93">
        <v>88210</v>
      </c>
      <c r="I73" s="93" t="s">
        <v>62</v>
      </c>
      <c r="J73" s="29"/>
      <c r="K73" s="110">
        <v>0</v>
      </c>
      <c r="L73" s="110">
        <v>95</v>
      </c>
      <c r="M73" s="110">
        <v>0</v>
      </c>
      <c r="N73" s="110">
        <v>13105</v>
      </c>
      <c r="O73" s="29" t="s">
        <v>4386</v>
      </c>
      <c r="P73" s="126">
        <v>71</v>
      </c>
      <c r="Q73" t="str">
        <f t="shared" si="1"/>
        <v>CFMOILLLCPOBOX1176ARTESIA</v>
      </c>
    </row>
    <row r="74" spans="1:17" x14ac:dyDescent="0.25">
      <c r="A74" s="29"/>
      <c r="B74" s="29" t="s">
        <v>4472</v>
      </c>
      <c r="C74" s="92" t="s">
        <v>583</v>
      </c>
      <c r="D74" s="100" t="s">
        <v>584</v>
      </c>
      <c r="E74" s="29"/>
      <c r="F74" s="93" t="s">
        <v>585</v>
      </c>
      <c r="G74" s="93" t="s">
        <v>184</v>
      </c>
      <c r="H74" s="93">
        <v>73114</v>
      </c>
      <c r="I74" s="93" t="s">
        <v>62</v>
      </c>
      <c r="J74" s="29"/>
      <c r="K74" s="110">
        <v>0</v>
      </c>
      <c r="L74" s="110">
        <v>0</v>
      </c>
      <c r="M74" s="110">
        <v>0</v>
      </c>
      <c r="N74" s="110">
        <v>0</v>
      </c>
      <c r="O74" s="29" t="s">
        <v>4385</v>
      </c>
      <c r="P74" s="126">
        <v>72</v>
      </c>
      <c r="Q74" t="str">
        <f t="shared" si="1"/>
        <v>CHAPARRALENERGYLLC701CEDARLAKEBLVDOKLAHOMACITY</v>
      </c>
    </row>
    <row r="75" spans="1:17" x14ac:dyDescent="0.25">
      <c r="A75" s="29"/>
      <c r="B75" s="29"/>
      <c r="C75" s="94" t="s">
        <v>591</v>
      </c>
      <c r="D75" s="93" t="s">
        <v>592</v>
      </c>
      <c r="E75" s="29"/>
      <c r="F75" s="93" t="s">
        <v>593</v>
      </c>
      <c r="G75" s="93" t="s">
        <v>84</v>
      </c>
      <c r="H75" s="93">
        <v>87410</v>
      </c>
      <c r="I75" s="93" t="s">
        <v>62</v>
      </c>
      <c r="J75" s="29"/>
      <c r="K75" s="110">
        <v>2</v>
      </c>
      <c r="L75" s="110">
        <v>7</v>
      </c>
      <c r="M75" s="110">
        <v>90940</v>
      </c>
      <c r="N75" s="110">
        <v>0</v>
      </c>
      <c r="O75" s="29" t="s">
        <v>4386</v>
      </c>
      <c r="P75" s="126">
        <v>73</v>
      </c>
      <c r="Q75" t="str">
        <f t="shared" si="1"/>
        <v>CHAPARRALOIL&amp;GASCOPOBOX100AZTEC</v>
      </c>
    </row>
    <row r="76" spans="1:17" x14ac:dyDescent="0.25">
      <c r="A76" s="29"/>
      <c r="B76" s="29" t="s">
        <v>4472</v>
      </c>
      <c r="C76" s="92" t="s">
        <v>600</v>
      </c>
      <c r="D76" s="100" t="s">
        <v>601</v>
      </c>
      <c r="E76" s="29"/>
      <c r="F76" s="93" t="s">
        <v>602</v>
      </c>
      <c r="G76" s="93" t="s">
        <v>603</v>
      </c>
      <c r="H76" s="93">
        <v>76180</v>
      </c>
      <c r="I76" s="93" t="s">
        <v>62</v>
      </c>
      <c r="J76" s="29"/>
      <c r="K76" s="110">
        <v>0</v>
      </c>
      <c r="L76" s="110">
        <v>0</v>
      </c>
      <c r="M76" s="110">
        <v>0</v>
      </c>
      <c r="N76" s="110">
        <v>0</v>
      </c>
      <c r="O76" s="29" t="s">
        <v>4385</v>
      </c>
      <c r="P76" s="126">
        <v>74</v>
      </c>
      <c r="Q76" t="str">
        <f t="shared" si="1"/>
        <v>CHARGERRESOURCES9001AIRPORTFREEWAYNORTHRICHLANDHILLS</v>
      </c>
    </row>
    <row r="77" spans="1:17" x14ac:dyDescent="0.25">
      <c r="A77" s="29"/>
      <c r="B77" s="29" t="s">
        <v>4472</v>
      </c>
      <c r="C77" s="92" t="s">
        <v>609</v>
      </c>
      <c r="D77" s="100" t="s">
        <v>610</v>
      </c>
      <c r="E77" s="29"/>
      <c r="F77" s="93" t="s">
        <v>611</v>
      </c>
      <c r="G77" s="93" t="s">
        <v>612</v>
      </c>
      <c r="H77" s="93">
        <v>73118</v>
      </c>
      <c r="I77" s="93" t="s">
        <v>62</v>
      </c>
      <c r="J77" s="29"/>
      <c r="K77" s="110">
        <v>0</v>
      </c>
      <c r="L77" s="110">
        <v>0</v>
      </c>
      <c r="M77" s="110">
        <v>0</v>
      </c>
      <c r="N77" s="110">
        <v>0</v>
      </c>
      <c r="O77" s="29" t="s">
        <v>4385</v>
      </c>
      <c r="P77" s="126">
        <v>75</v>
      </c>
      <c r="Q77" t="str">
        <f t="shared" si="1"/>
        <v>CHESAPEAKEOPERATINGINCPOBOX18496OKLAHOMACITYOK73118</v>
      </c>
    </row>
    <row r="78" spans="1:17" x14ac:dyDescent="0.25">
      <c r="A78" s="29" t="s">
        <v>4482</v>
      </c>
      <c r="B78" s="29" t="s">
        <v>4483</v>
      </c>
      <c r="C78" s="113" t="s">
        <v>4484</v>
      </c>
      <c r="D78" s="93" t="s">
        <v>622</v>
      </c>
      <c r="E78" s="29"/>
      <c r="F78" s="93" t="s">
        <v>153</v>
      </c>
      <c r="G78" s="93" t="s">
        <v>80</v>
      </c>
      <c r="H78" s="93">
        <v>79706</v>
      </c>
      <c r="I78" s="93" t="s">
        <v>62</v>
      </c>
      <c r="J78" s="29"/>
      <c r="K78" s="114">
        <v>489</v>
      </c>
      <c r="L78" s="114">
        <v>852</v>
      </c>
      <c r="M78" s="114">
        <v>122694187</v>
      </c>
      <c r="N78" s="114">
        <v>15933919</v>
      </c>
      <c r="O78" s="29" t="s">
        <v>4386</v>
      </c>
      <c r="P78" s="126">
        <v>76</v>
      </c>
      <c r="Q78" t="str">
        <f t="shared" si="1"/>
        <v>CHEVRONMIDCONTINENTLP6301DEAUVILLEBLVDMIDLAND</v>
      </c>
    </row>
    <row r="79" spans="1:17" x14ac:dyDescent="0.25">
      <c r="A79" s="29"/>
      <c r="B79" s="29" t="s">
        <v>4472</v>
      </c>
      <c r="C79" s="92" t="s">
        <v>627</v>
      </c>
      <c r="D79" s="93" t="s">
        <v>628</v>
      </c>
      <c r="E79" s="29"/>
      <c r="F79" s="93" t="s">
        <v>153</v>
      </c>
      <c r="G79" s="93" t="s">
        <v>80</v>
      </c>
      <c r="H79" s="93">
        <v>79705</v>
      </c>
      <c r="I79" s="93" t="s">
        <v>62</v>
      </c>
      <c r="J79" s="29"/>
      <c r="K79" s="110">
        <v>0</v>
      </c>
      <c r="L79" s="110">
        <v>0</v>
      </c>
      <c r="M79" s="110">
        <v>0</v>
      </c>
      <c r="N79" s="110">
        <v>0</v>
      </c>
      <c r="O79" s="29" t="s">
        <v>4385</v>
      </c>
      <c r="P79" s="126">
        <v>77</v>
      </c>
      <c r="Q79" t="str">
        <f t="shared" si="1"/>
        <v>CHEVRONNORTHAMERICAEXPLORATION&amp;PRODUCTIONCO15SMITHROADMIDLAND</v>
      </c>
    </row>
    <row r="80" spans="1:17" x14ac:dyDescent="0.25">
      <c r="A80" s="29"/>
      <c r="B80" s="29"/>
      <c r="C80" s="94" t="s">
        <v>634</v>
      </c>
      <c r="D80" s="93" t="s">
        <v>635</v>
      </c>
      <c r="E80" s="29"/>
      <c r="F80" s="93" t="s">
        <v>153</v>
      </c>
      <c r="G80" s="93" t="s">
        <v>80</v>
      </c>
      <c r="H80" s="93">
        <v>79702</v>
      </c>
      <c r="I80" s="93" t="s">
        <v>62</v>
      </c>
      <c r="J80" s="29"/>
      <c r="K80" s="110">
        <v>21</v>
      </c>
      <c r="L80" s="110">
        <v>18</v>
      </c>
      <c r="M80" s="110">
        <v>484424</v>
      </c>
      <c r="N80" s="110">
        <v>186743</v>
      </c>
      <c r="O80" s="29" t="s">
        <v>4386</v>
      </c>
      <c r="P80" s="126">
        <v>78</v>
      </c>
      <c r="Q80" t="str">
        <f t="shared" si="1"/>
        <v>CHIOPERATINGINCPOBOX1799MIDLAND</v>
      </c>
    </row>
    <row r="81" spans="1:17" x14ac:dyDescent="0.25">
      <c r="A81" s="29"/>
      <c r="B81" s="29"/>
      <c r="C81" s="112" t="s">
        <v>4485</v>
      </c>
      <c r="D81" s="93" t="s">
        <v>462</v>
      </c>
      <c r="E81" s="29"/>
      <c r="F81" s="93" t="s">
        <v>88</v>
      </c>
      <c r="G81" s="93" t="s">
        <v>80</v>
      </c>
      <c r="H81" s="93">
        <v>76102</v>
      </c>
      <c r="I81" s="93" t="s">
        <v>62</v>
      </c>
      <c r="J81" s="29"/>
      <c r="K81" s="110">
        <v>93</v>
      </c>
      <c r="L81" s="110">
        <v>74</v>
      </c>
      <c r="M81" s="110">
        <v>13326277</v>
      </c>
      <c r="N81" s="110">
        <v>3866540</v>
      </c>
      <c r="O81" s="29" t="s">
        <v>4386</v>
      </c>
      <c r="P81" s="126">
        <v>79</v>
      </c>
      <c r="Q81" t="str">
        <f t="shared" si="1"/>
        <v>CHISHOLMENERGYOPERATINGLLC801CHERRYSTREETFORTWORTH</v>
      </c>
    </row>
    <row r="82" spans="1:17" x14ac:dyDescent="0.25">
      <c r="A82" s="29"/>
      <c r="B82" s="29"/>
      <c r="C82" s="94" t="s">
        <v>650</v>
      </c>
      <c r="D82" s="93" t="s">
        <v>651</v>
      </c>
      <c r="E82" s="29"/>
      <c r="F82" s="93" t="s">
        <v>112</v>
      </c>
      <c r="G82" s="93" t="s">
        <v>80</v>
      </c>
      <c r="H82" s="93"/>
      <c r="I82" s="93" t="s">
        <v>62</v>
      </c>
      <c r="J82" s="29"/>
      <c r="K82" s="110">
        <v>1</v>
      </c>
      <c r="L82" s="110">
        <v>7</v>
      </c>
      <c r="M82" s="110">
        <v>48752</v>
      </c>
      <c r="N82" s="110">
        <v>3599</v>
      </c>
      <c r="O82" s="29" t="s">
        <v>4386</v>
      </c>
      <c r="P82" s="126">
        <v>80</v>
      </c>
      <c r="Q82" t="str">
        <f t="shared" si="1"/>
        <v>CHISOSLTD1331LAMARSTREETHOUSTON</v>
      </c>
    </row>
    <row r="83" spans="1:17" x14ac:dyDescent="0.25">
      <c r="A83" s="29"/>
      <c r="B83" s="29"/>
      <c r="C83" s="94" t="s">
        <v>660</v>
      </c>
      <c r="D83" s="93" t="s">
        <v>661</v>
      </c>
      <c r="E83" s="29"/>
      <c r="F83" s="93" t="s">
        <v>513</v>
      </c>
      <c r="G83" s="93" t="s">
        <v>84</v>
      </c>
      <c r="H83" s="93">
        <v>88231</v>
      </c>
      <c r="I83" s="93" t="s">
        <v>62</v>
      </c>
      <c r="J83" s="29"/>
      <c r="K83" s="110">
        <v>0</v>
      </c>
      <c r="L83" s="110">
        <v>1</v>
      </c>
      <c r="M83" s="110">
        <v>2524</v>
      </c>
      <c r="N83" s="110">
        <v>0</v>
      </c>
      <c r="O83" s="29" t="s">
        <v>4386</v>
      </c>
      <c r="P83" s="126">
        <v>81</v>
      </c>
      <c r="Q83" t="str">
        <f t="shared" si="1"/>
        <v>CHRISTMASLLCPOBOX718EUNICE</v>
      </c>
    </row>
    <row r="84" spans="1:17" x14ac:dyDescent="0.25">
      <c r="A84" s="29"/>
      <c r="B84" s="29"/>
      <c r="C84" s="112" t="s">
        <v>4486</v>
      </c>
      <c r="D84" s="93" t="s">
        <v>663</v>
      </c>
      <c r="E84" s="29"/>
      <c r="F84" s="93" t="s">
        <v>183</v>
      </c>
      <c r="G84" s="93" t="s">
        <v>184</v>
      </c>
      <c r="H84" s="93">
        <v>74103</v>
      </c>
      <c r="I84" s="93" t="s">
        <v>62</v>
      </c>
      <c r="J84" s="29"/>
      <c r="K84" s="110">
        <v>251</v>
      </c>
      <c r="L84" s="110">
        <v>161</v>
      </c>
      <c r="M84" s="110">
        <v>26190309</v>
      </c>
      <c r="N84" s="110">
        <v>3918304</v>
      </c>
      <c r="O84" s="29" t="s">
        <v>4386</v>
      </c>
      <c r="P84" s="126">
        <v>82</v>
      </c>
      <c r="Q84" t="str">
        <f t="shared" si="1"/>
        <v>CIMAREXENERGYCOOFCOLORADO202SCHEYENNEAVETULSA</v>
      </c>
    </row>
    <row r="85" spans="1:17" x14ac:dyDescent="0.25">
      <c r="A85" s="29"/>
      <c r="B85" s="29"/>
      <c r="C85" s="112" t="s">
        <v>4487</v>
      </c>
      <c r="D85" s="93" t="s">
        <v>672</v>
      </c>
      <c r="E85" s="29"/>
      <c r="F85" s="93" t="s">
        <v>153</v>
      </c>
      <c r="G85" s="93" t="s">
        <v>80</v>
      </c>
      <c r="H85" s="93">
        <v>79701</v>
      </c>
      <c r="I85" s="93" t="s">
        <v>62</v>
      </c>
      <c r="J85" s="29"/>
      <c r="K85" s="110">
        <v>207</v>
      </c>
      <c r="L85" s="110">
        <v>22</v>
      </c>
      <c r="M85" s="110">
        <v>79945855</v>
      </c>
      <c r="N85" s="110">
        <v>12679515</v>
      </c>
      <c r="O85" s="29" t="s">
        <v>4386</v>
      </c>
      <c r="P85" s="126">
        <v>83</v>
      </c>
      <c r="Q85" t="str">
        <f t="shared" si="1"/>
        <v>CIMAREXENERGYCO600NMARIENFELDSTREETMIDLAND</v>
      </c>
    </row>
    <row r="86" spans="1:17" x14ac:dyDescent="0.25">
      <c r="A86" s="29"/>
      <c r="B86" s="29"/>
      <c r="C86" s="112" t="s">
        <v>4488</v>
      </c>
      <c r="D86" s="100" t="s">
        <v>679</v>
      </c>
      <c r="E86" s="29"/>
      <c r="F86" s="93" t="s">
        <v>112</v>
      </c>
      <c r="G86" s="93" t="s">
        <v>80</v>
      </c>
      <c r="H86" s="93">
        <v>77269</v>
      </c>
      <c r="I86" s="93" t="s">
        <v>62</v>
      </c>
      <c r="J86" s="29"/>
      <c r="K86" s="110">
        <v>9</v>
      </c>
      <c r="L86" s="110">
        <v>30</v>
      </c>
      <c r="M86" s="110">
        <v>449231</v>
      </c>
      <c r="N86" s="110">
        <v>9537</v>
      </c>
      <c r="O86" s="29" t="s">
        <v>4386</v>
      </c>
      <c r="P86" s="126">
        <v>84</v>
      </c>
      <c r="Q86" t="str">
        <f t="shared" si="1"/>
        <v>CITATIONOIL&amp;GASCORPPOBOX690688HOUSTON</v>
      </c>
    </row>
    <row r="87" spans="1:17" x14ac:dyDescent="0.25">
      <c r="A87" s="29"/>
      <c r="B87" s="29"/>
      <c r="C87" s="94" t="s">
        <v>685</v>
      </c>
      <c r="D87" s="93" t="s">
        <v>686</v>
      </c>
      <c r="E87" s="29"/>
      <c r="F87" s="93" t="s">
        <v>687</v>
      </c>
      <c r="G87" s="93" t="s">
        <v>80</v>
      </c>
      <c r="H87" s="93">
        <v>79550</v>
      </c>
      <c r="I87" s="93" t="s">
        <v>62</v>
      </c>
      <c r="J87" s="29"/>
      <c r="K87" s="110">
        <v>13</v>
      </c>
      <c r="L87" s="110">
        <v>24</v>
      </c>
      <c r="M87" s="110">
        <v>387548</v>
      </c>
      <c r="N87" s="110">
        <v>165186</v>
      </c>
      <c r="O87" s="29" t="s">
        <v>4386</v>
      </c>
      <c r="P87" s="126">
        <v>85</v>
      </c>
      <c r="Q87" t="str">
        <f t="shared" si="1"/>
        <v>CMLEXPLORATIONLLCPOBOX890SNYDER</v>
      </c>
    </row>
    <row r="88" spans="1:17" x14ac:dyDescent="0.25">
      <c r="A88" s="29"/>
      <c r="B88" s="29" t="s">
        <v>4472</v>
      </c>
      <c r="C88" s="92" t="s">
        <v>693</v>
      </c>
      <c r="D88" s="100" t="s">
        <v>694</v>
      </c>
      <c r="E88" s="29"/>
      <c r="F88" s="93" t="s">
        <v>153</v>
      </c>
      <c r="G88" s="93" t="s">
        <v>80</v>
      </c>
      <c r="H88" s="93">
        <v>79701</v>
      </c>
      <c r="I88" s="93" t="s">
        <v>62</v>
      </c>
      <c r="J88" s="29"/>
      <c r="K88" s="110">
        <v>0</v>
      </c>
      <c r="L88" s="110">
        <v>0</v>
      </c>
      <c r="M88" s="110">
        <v>0</v>
      </c>
      <c r="N88" s="110">
        <v>0</v>
      </c>
      <c r="O88" s="29" t="s">
        <v>4385</v>
      </c>
      <c r="P88" s="126">
        <v>86</v>
      </c>
      <c r="Q88" t="str">
        <f t="shared" si="1"/>
        <v>CO2INC1809SMIDKIFFMIDLAND</v>
      </c>
    </row>
    <row r="89" spans="1:17" x14ac:dyDescent="0.25">
      <c r="A89" s="29"/>
      <c r="B89" s="29"/>
      <c r="C89" s="94" t="s">
        <v>704</v>
      </c>
      <c r="D89" s="93" t="s">
        <v>705</v>
      </c>
      <c r="E89" s="29"/>
      <c r="F89" s="93" t="s">
        <v>153</v>
      </c>
      <c r="G89" s="93" t="s">
        <v>80</v>
      </c>
      <c r="H89" s="93">
        <v>79710</v>
      </c>
      <c r="I89" s="93" t="s">
        <v>62</v>
      </c>
      <c r="J89" s="29"/>
      <c r="K89" s="110">
        <v>0</v>
      </c>
      <c r="L89" s="110">
        <v>1</v>
      </c>
      <c r="M89" s="110">
        <v>0</v>
      </c>
      <c r="N89" s="110">
        <v>9</v>
      </c>
      <c r="O89" s="29" t="s">
        <v>4386</v>
      </c>
      <c r="P89" s="126">
        <v>87</v>
      </c>
      <c r="Q89" t="str">
        <f t="shared" si="1"/>
        <v>COBALTOPERATINGLLCPOBOX51468MIDLAND</v>
      </c>
    </row>
    <row r="90" spans="1:17" x14ac:dyDescent="0.25">
      <c r="A90" s="29"/>
      <c r="B90" s="29"/>
      <c r="C90" s="94" t="s">
        <v>711</v>
      </c>
      <c r="D90" s="93" t="s">
        <v>712</v>
      </c>
      <c r="E90" s="29"/>
      <c r="F90" s="93" t="s">
        <v>418</v>
      </c>
      <c r="G90" s="93" t="s">
        <v>80</v>
      </c>
      <c r="H90" s="93">
        <v>76307</v>
      </c>
      <c r="I90" s="93" t="s">
        <v>62</v>
      </c>
      <c r="J90" s="29"/>
      <c r="K90" s="110">
        <v>1</v>
      </c>
      <c r="L90" s="110">
        <v>0</v>
      </c>
      <c r="M90" s="110">
        <v>0</v>
      </c>
      <c r="N90" s="110">
        <v>1242</v>
      </c>
      <c r="O90" s="29" t="s">
        <v>4386</v>
      </c>
      <c r="P90" s="126">
        <v>88</v>
      </c>
      <c r="Q90" t="str">
        <f t="shared" si="1"/>
        <v>COBRAOIL&amp;GASCORPORATIONPOBOX8206WICHITAFALLS</v>
      </c>
    </row>
    <row r="91" spans="1:17" x14ac:dyDescent="0.25">
      <c r="A91" s="29"/>
      <c r="B91" s="29"/>
      <c r="C91" s="112" t="s">
        <v>4489</v>
      </c>
      <c r="D91" s="100" t="s">
        <v>719</v>
      </c>
      <c r="E91" s="29"/>
      <c r="F91" s="93" t="s">
        <v>153</v>
      </c>
      <c r="G91" s="93" t="s">
        <v>80</v>
      </c>
      <c r="H91" s="93">
        <v>79701</v>
      </c>
      <c r="I91" s="93" t="s">
        <v>62</v>
      </c>
      <c r="J91" s="29"/>
      <c r="K91" s="110">
        <v>732</v>
      </c>
      <c r="L91" s="110">
        <v>292</v>
      </c>
      <c r="M91" s="110">
        <v>154063065</v>
      </c>
      <c r="N91" s="110">
        <v>43484820</v>
      </c>
      <c r="O91" s="29" t="s">
        <v>4386</v>
      </c>
      <c r="P91" s="126">
        <v>89</v>
      </c>
      <c r="Q91" t="str">
        <f t="shared" si="1"/>
        <v>COGOPERATINGLLC600WILLINOISAVEMIDLAND</v>
      </c>
    </row>
    <row r="92" spans="1:17" x14ac:dyDescent="0.25">
      <c r="A92" s="29"/>
      <c r="B92" s="29"/>
      <c r="C92" s="94" t="s">
        <v>728</v>
      </c>
      <c r="D92" s="93" t="s">
        <v>729</v>
      </c>
      <c r="E92" s="29"/>
      <c r="F92" s="93" t="s">
        <v>153</v>
      </c>
      <c r="G92" s="93" t="s">
        <v>80</v>
      </c>
      <c r="H92" s="93">
        <v>79702</v>
      </c>
      <c r="I92" s="93" t="s">
        <v>62</v>
      </c>
      <c r="J92" s="29"/>
      <c r="K92" s="110">
        <v>126</v>
      </c>
      <c r="L92" s="110">
        <v>18</v>
      </c>
      <c r="M92" s="110">
        <v>57778018</v>
      </c>
      <c r="N92" s="110">
        <v>5336279</v>
      </c>
      <c r="O92" s="29" t="s">
        <v>4386</v>
      </c>
      <c r="P92" s="126">
        <v>90</v>
      </c>
      <c r="Q92" t="str">
        <f t="shared" si="1"/>
        <v>COGPRODUCTIONLLCPOBOX2064MIDLAND</v>
      </c>
    </row>
    <row r="93" spans="1:17" x14ac:dyDescent="0.25">
      <c r="A93" s="29"/>
      <c r="B93" s="29"/>
      <c r="C93" s="94" t="s">
        <v>736</v>
      </c>
      <c r="D93" s="93" t="s">
        <v>737</v>
      </c>
      <c r="E93" s="29"/>
      <c r="F93" s="93" t="s">
        <v>123</v>
      </c>
      <c r="G93" s="93" t="s">
        <v>84</v>
      </c>
      <c r="H93" s="93">
        <v>87499</v>
      </c>
      <c r="I93" s="93" t="s">
        <v>62</v>
      </c>
      <c r="J93" s="29"/>
      <c r="K93" s="110">
        <v>7</v>
      </c>
      <c r="L93" s="110">
        <v>11</v>
      </c>
      <c r="M93" s="110">
        <v>573948</v>
      </c>
      <c r="N93" s="110">
        <v>1215</v>
      </c>
      <c r="O93" s="29" t="s">
        <v>4386</v>
      </c>
      <c r="P93" s="126">
        <v>91</v>
      </c>
      <c r="Q93" t="str">
        <f t="shared" si="1"/>
        <v>COLEMANOIL&amp;GASINCPODRAWER3337FARMINGTON</v>
      </c>
    </row>
    <row r="94" spans="1:17" x14ac:dyDescent="0.25">
      <c r="A94" s="29"/>
      <c r="B94" s="29"/>
      <c r="C94" s="112" t="s">
        <v>4490</v>
      </c>
      <c r="D94" s="93" t="s">
        <v>744</v>
      </c>
      <c r="E94" s="29"/>
      <c r="F94" s="93" t="s">
        <v>153</v>
      </c>
      <c r="G94" s="93" t="s">
        <v>80</v>
      </c>
      <c r="H94" s="93">
        <v>79701</v>
      </c>
      <c r="I94" s="93" t="s">
        <v>62</v>
      </c>
      <c r="J94" s="29"/>
      <c r="K94" s="110">
        <v>10</v>
      </c>
      <c r="L94" s="110">
        <v>16</v>
      </c>
      <c r="M94" s="110">
        <v>797186</v>
      </c>
      <c r="N94" s="110">
        <v>89734</v>
      </c>
      <c r="O94" s="29" t="s">
        <v>4386</v>
      </c>
      <c r="P94" s="126">
        <v>92</v>
      </c>
      <c r="Q94" t="str">
        <f t="shared" si="1"/>
        <v>COLGATEOPERATINGLLC300NORTHMARIENFELDSTREETMIDLAND</v>
      </c>
    </row>
    <row r="95" spans="1:17" x14ac:dyDescent="0.25">
      <c r="A95" s="29"/>
      <c r="B95" s="29" t="s">
        <v>4472</v>
      </c>
      <c r="C95" s="92" t="s">
        <v>750</v>
      </c>
      <c r="D95" s="101" t="s">
        <v>751</v>
      </c>
      <c r="E95" s="29"/>
      <c r="F95" s="101" t="s">
        <v>153</v>
      </c>
      <c r="G95" s="100" t="s">
        <v>80</v>
      </c>
      <c r="H95" s="101">
        <v>79706</v>
      </c>
      <c r="I95" s="93" t="s">
        <v>62</v>
      </c>
      <c r="J95" s="29"/>
      <c r="K95" s="110">
        <v>0</v>
      </c>
      <c r="L95" s="110">
        <v>0</v>
      </c>
      <c r="M95" s="110">
        <v>0</v>
      </c>
      <c r="N95" s="110">
        <v>0</v>
      </c>
      <c r="O95" s="29" t="s">
        <v>4385</v>
      </c>
      <c r="P95" s="126">
        <v>93</v>
      </c>
      <c r="Q95" t="str">
        <f t="shared" si="1"/>
        <v>COMPRESSORSYSTEMSINC3809SFM1788MIDLAND</v>
      </c>
    </row>
    <row r="96" spans="1:17" x14ac:dyDescent="0.25">
      <c r="A96" s="29"/>
      <c r="B96" s="29" t="s">
        <v>4472</v>
      </c>
      <c r="C96" s="92" t="s">
        <v>765</v>
      </c>
      <c r="D96" s="100" t="s">
        <v>766</v>
      </c>
      <c r="E96" s="29"/>
      <c r="F96" s="93" t="s">
        <v>112</v>
      </c>
      <c r="G96" s="93" t="s">
        <v>80</v>
      </c>
      <c r="H96" s="93">
        <v>79705</v>
      </c>
      <c r="I96" s="93" t="s">
        <v>62</v>
      </c>
      <c r="J96" s="29"/>
      <c r="K96" s="110">
        <v>0</v>
      </c>
      <c r="L96" s="110">
        <v>0</v>
      </c>
      <c r="M96" s="110">
        <v>0</v>
      </c>
      <c r="N96" s="110">
        <v>0</v>
      </c>
      <c r="O96" s="29" t="s">
        <v>4385</v>
      </c>
      <c r="P96" s="126">
        <v>94</v>
      </c>
      <c r="Q96" t="str">
        <f t="shared" si="1"/>
        <v>CONOCOPHILLIPSMIDLANDOFFICE3300NORTHASTREETHOUSTON</v>
      </c>
    </row>
    <row r="97" spans="1:17" x14ac:dyDescent="0.25">
      <c r="A97" s="29"/>
      <c r="B97" s="29" t="s">
        <v>4472</v>
      </c>
      <c r="C97" s="92" t="s">
        <v>767</v>
      </c>
      <c r="D97" s="100" t="s">
        <v>768</v>
      </c>
      <c r="E97" s="29"/>
      <c r="F97" s="93" t="s">
        <v>112</v>
      </c>
      <c r="G97" s="93" t="s">
        <v>80</v>
      </c>
      <c r="H97" s="93">
        <v>77079</v>
      </c>
      <c r="I97" s="93" t="s">
        <v>62</v>
      </c>
      <c r="J97" s="29"/>
      <c r="K97" s="110">
        <v>0</v>
      </c>
      <c r="L97" s="110">
        <v>0</v>
      </c>
      <c r="M97" s="110">
        <v>0</v>
      </c>
      <c r="N97" s="110">
        <v>0</v>
      </c>
      <c r="O97" s="29" t="s">
        <v>4385</v>
      </c>
      <c r="P97" s="126">
        <v>95</v>
      </c>
      <c r="Q97" t="str">
        <f t="shared" si="1"/>
        <v>CONOCOPHILLIPS935NELDRIDGEPKWYHOUSTON</v>
      </c>
    </row>
    <row r="98" spans="1:17" x14ac:dyDescent="0.25">
      <c r="A98" s="29"/>
      <c r="B98" s="29"/>
      <c r="C98" s="94" t="s">
        <v>777</v>
      </c>
      <c r="D98" s="93" t="s">
        <v>778</v>
      </c>
      <c r="E98" s="29"/>
      <c r="F98" s="93" t="s">
        <v>112</v>
      </c>
      <c r="G98" s="93" t="s">
        <v>80</v>
      </c>
      <c r="H98" s="93">
        <v>77252</v>
      </c>
      <c r="I98" s="93" t="s">
        <v>62</v>
      </c>
      <c r="J98" s="29"/>
      <c r="K98" s="110">
        <v>259</v>
      </c>
      <c r="L98" s="110">
        <v>644</v>
      </c>
      <c r="M98" s="110">
        <v>23061329</v>
      </c>
      <c r="N98" s="110">
        <v>5713944</v>
      </c>
      <c r="O98" s="29" t="s">
        <v>4386</v>
      </c>
      <c r="P98" s="126">
        <v>96</v>
      </c>
      <c r="Q98" t="str">
        <f t="shared" si="1"/>
        <v>CONOCOPHILLIPSCOMPANYPOBOX2197HOUSTON</v>
      </c>
    </row>
    <row r="99" spans="1:17" x14ac:dyDescent="0.25">
      <c r="A99" s="29"/>
      <c r="B99" s="29" t="s">
        <v>4491</v>
      </c>
      <c r="C99" s="99" t="s">
        <v>779</v>
      </c>
      <c r="D99" s="100" t="s">
        <v>780</v>
      </c>
      <c r="E99" s="29"/>
      <c r="F99" s="93" t="s">
        <v>585</v>
      </c>
      <c r="G99" s="93" t="s">
        <v>184</v>
      </c>
      <c r="H99" s="93">
        <v>73102</v>
      </c>
      <c r="I99" s="93" t="s">
        <v>62</v>
      </c>
      <c r="J99" s="29"/>
      <c r="K99" s="110">
        <v>0</v>
      </c>
      <c r="L99" s="110">
        <v>0</v>
      </c>
      <c r="M99" s="110">
        <v>0</v>
      </c>
      <c r="N99" s="110">
        <v>0</v>
      </c>
      <c r="O99" s="29" t="s">
        <v>4385</v>
      </c>
      <c r="P99" s="126">
        <v>97</v>
      </c>
      <c r="Q99" t="str">
        <f t="shared" si="1"/>
        <v>CONTINENTALRESOURCESINC20NBROADWAYOKLAHOMACITY</v>
      </c>
    </row>
    <row r="100" spans="1:17" x14ac:dyDescent="0.25">
      <c r="A100" s="29"/>
      <c r="B100" s="29"/>
      <c r="C100" s="102" t="s">
        <v>786</v>
      </c>
      <c r="D100" s="93" t="s">
        <v>787</v>
      </c>
      <c r="E100" s="29"/>
      <c r="F100" s="93" t="s">
        <v>585</v>
      </c>
      <c r="G100" s="93" t="s">
        <v>184</v>
      </c>
      <c r="H100" s="93">
        <v>73126</v>
      </c>
      <c r="I100" s="93" t="s">
        <v>62</v>
      </c>
      <c r="J100" s="29"/>
      <c r="K100" s="110">
        <v>1</v>
      </c>
      <c r="L100" s="110">
        <v>0</v>
      </c>
      <c r="M100" s="110">
        <v>136364</v>
      </c>
      <c r="N100" s="110">
        <v>30959</v>
      </c>
      <c r="O100" s="29" t="s">
        <v>4386</v>
      </c>
      <c r="P100" s="126">
        <v>98</v>
      </c>
      <c r="Q100" t="str">
        <f t="shared" si="1"/>
        <v>CONTINENTALRESOURCESINCPOBOX268870OKLAHOMACITY</v>
      </c>
    </row>
    <row r="101" spans="1:17" x14ac:dyDescent="0.25">
      <c r="A101" s="29"/>
      <c r="B101" s="29"/>
      <c r="C101" s="94" t="s">
        <v>788</v>
      </c>
      <c r="D101" s="93" t="s">
        <v>789</v>
      </c>
      <c r="E101" s="29"/>
      <c r="F101" s="93" t="s">
        <v>153</v>
      </c>
      <c r="G101" s="93" t="s">
        <v>80</v>
      </c>
      <c r="H101" s="93">
        <v>79710</v>
      </c>
      <c r="I101" s="93" t="s">
        <v>62</v>
      </c>
      <c r="J101" s="29"/>
      <c r="K101" s="110">
        <v>4</v>
      </c>
      <c r="L101" s="110">
        <v>0</v>
      </c>
      <c r="M101" s="110">
        <v>0</v>
      </c>
      <c r="N101" s="110">
        <v>5138</v>
      </c>
      <c r="O101" s="29" t="s">
        <v>4386</v>
      </c>
      <c r="P101" s="126">
        <v>99</v>
      </c>
      <c r="Q101" t="str">
        <f t="shared" si="1"/>
        <v>COPPERRIDGERESOURCESLLCPOBOX52543MIDLAND</v>
      </c>
    </row>
    <row r="102" spans="1:17" x14ac:dyDescent="0.25">
      <c r="A102" s="29"/>
      <c r="B102" s="29" t="s">
        <v>4472</v>
      </c>
      <c r="C102" s="92" t="s">
        <v>795</v>
      </c>
      <c r="D102" s="100" t="s">
        <v>796</v>
      </c>
      <c r="E102" s="29"/>
      <c r="F102" s="93" t="s">
        <v>112</v>
      </c>
      <c r="G102" s="93" t="s">
        <v>80</v>
      </c>
      <c r="H102" s="93">
        <v>77002</v>
      </c>
      <c r="I102" s="93" t="s">
        <v>62</v>
      </c>
      <c r="J102" s="29"/>
      <c r="K102" s="110">
        <v>0</v>
      </c>
      <c r="L102" s="110">
        <v>0</v>
      </c>
      <c r="M102" s="110">
        <v>0</v>
      </c>
      <c r="N102" s="110">
        <v>0</v>
      </c>
      <c r="O102" s="29" t="s">
        <v>4385</v>
      </c>
      <c r="P102" s="126">
        <v>100</v>
      </c>
      <c r="Q102" t="str">
        <f t="shared" si="1"/>
        <v>CORONADOENERGYE&amp;PCOMPANYLLC1001LOUISIANASTREETHOUSTON</v>
      </c>
    </row>
    <row r="103" spans="1:17" x14ac:dyDescent="0.25">
      <c r="A103" s="29"/>
      <c r="B103" s="29" t="s">
        <v>4472</v>
      </c>
      <c r="C103" s="92" t="s">
        <v>802</v>
      </c>
      <c r="D103" s="100" t="s">
        <v>803</v>
      </c>
      <c r="E103" s="29"/>
      <c r="F103" s="93" t="s">
        <v>585</v>
      </c>
      <c r="G103" s="93" t="s">
        <v>184</v>
      </c>
      <c r="H103" s="93">
        <v>73102</v>
      </c>
      <c r="I103" s="93" t="s">
        <v>62</v>
      </c>
      <c r="J103" s="29"/>
      <c r="K103" s="110">
        <v>0</v>
      </c>
      <c r="L103" s="110">
        <v>0</v>
      </c>
      <c r="M103" s="110">
        <v>0</v>
      </c>
      <c r="N103" s="110">
        <v>0</v>
      </c>
      <c r="O103" s="29" t="s">
        <v>4385</v>
      </c>
      <c r="P103" s="126">
        <v>101</v>
      </c>
      <c r="Q103" t="str">
        <f t="shared" si="1"/>
        <v>COTTONDRAWMIDSTREAMLLC333WESTSHERIDANAVEOKLAHOMACITY</v>
      </c>
    </row>
    <row r="104" spans="1:17" x14ac:dyDescent="0.25">
      <c r="A104" s="29"/>
      <c r="B104" s="29"/>
      <c r="C104" s="94" t="s">
        <v>812</v>
      </c>
      <c r="D104" s="93" t="s">
        <v>813</v>
      </c>
      <c r="E104" s="29"/>
      <c r="F104" s="93" t="s">
        <v>814</v>
      </c>
      <c r="G104" s="93" t="s">
        <v>265</v>
      </c>
      <c r="H104" s="93">
        <v>94707</v>
      </c>
      <c r="I104" s="93" t="s">
        <v>62</v>
      </c>
      <c r="J104" s="29"/>
      <c r="K104" s="110">
        <v>0</v>
      </c>
      <c r="L104" s="110">
        <v>1</v>
      </c>
      <c r="M104" s="110">
        <v>0</v>
      </c>
      <c r="N104" s="110">
        <v>717</v>
      </c>
      <c r="O104" s="29" t="s">
        <v>4386</v>
      </c>
      <c r="P104" s="126">
        <v>102</v>
      </c>
      <c r="Q104" t="str">
        <f t="shared" si="1"/>
        <v>COULTHURSTMGT&amp;INVINC1990MARINAVEBERKELEY</v>
      </c>
    </row>
    <row r="105" spans="1:17" x14ac:dyDescent="0.25">
      <c r="A105" s="29"/>
      <c r="B105" s="29"/>
      <c r="C105" s="94" t="s">
        <v>815</v>
      </c>
      <c r="D105" s="93" t="s">
        <v>816</v>
      </c>
      <c r="E105" s="29"/>
      <c r="F105" s="93" t="s">
        <v>112</v>
      </c>
      <c r="G105" s="93" t="s">
        <v>80</v>
      </c>
      <c r="H105" s="93">
        <v>77057</v>
      </c>
      <c r="I105" s="93" t="s">
        <v>62</v>
      </c>
      <c r="J105" s="29"/>
      <c r="K105" s="110">
        <v>1</v>
      </c>
      <c r="L105" s="110">
        <v>0</v>
      </c>
      <c r="M105" s="110">
        <v>0</v>
      </c>
      <c r="N105" s="110">
        <v>13105</v>
      </c>
      <c r="O105" s="29" t="s">
        <v>4386</v>
      </c>
      <c r="P105" s="126">
        <v>103</v>
      </c>
      <c r="Q105" t="str">
        <f t="shared" si="1"/>
        <v>CRAFTOPERATINGNMLLC5726WINSOMELANEHOUSTON</v>
      </c>
    </row>
    <row r="106" spans="1:17" x14ac:dyDescent="0.25">
      <c r="A106" s="29"/>
      <c r="B106" s="29" t="s">
        <v>4472</v>
      </c>
      <c r="C106" s="92" t="s">
        <v>817</v>
      </c>
      <c r="D106" s="100" t="s">
        <v>818</v>
      </c>
      <c r="E106" s="29"/>
      <c r="F106" s="93" t="s">
        <v>112</v>
      </c>
      <c r="G106" s="93" t="s">
        <v>80</v>
      </c>
      <c r="H106" s="93">
        <v>77002</v>
      </c>
      <c r="I106" s="93" t="s">
        <v>62</v>
      </c>
      <c r="J106" s="29"/>
      <c r="K106" s="110">
        <v>0</v>
      </c>
      <c r="L106" s="110">
        <v>0</v>
      </c>
      <c r="M106" s="110">
        <v>0</v>
      </c>
      <c r="N106" s="110">
        <v>0</v>
      </c>
      <c r="O106" s="29" t="s">
        <v>4385</v>
      </c>
      <c r="P106" s="126">
        <v>104</v>
      </c>
      <c r="Q106" t="str">
        <f t="shared" si="1"/>
        <v>CRESTWOODNEWMEXICOLLC811MAINSTREETHOUSTON</v>
      </c>
    </row>
    <row r="107" spans="1:17" x14ac:dyDescent="0.25">
      <c r="A107" s="29"/>
      <c r="B107" s="29"/>
      <c r="C107" s="94" t="s">
        <v>828</v>
      </c>
      <c r="D107" s="93" t="s">
        <v>829</v>
      </c>
      <c r="E107" s="29"/>
      <c r="F107" s="93" t="s">
        <v>830</v>
      </c>
      <c r="G107" s="93" t="s">
        <v>80</v>
      </c>
      <c r="H107" s="93">
        <v>75244</v>
      </c>
      <c r="I107" s="93" t="s">
        <v>62</v>
      </c>
      <c r="J107" s="29"/>
      <c r="K107" s="110">
        <v>1</v>
      </c>
      <c r="L107" s="110">
        <v>46</v>
      </c>
      <c r="M107" s="110">
        <v>0</v>
      </c>
      <c r="N107" s="110">
        <v>7455</v>
      </c>
      <c r="O107" s="29" t="s">
        <v>4386</v>
      </c>
      <c r="P107" s="126">
        <v>105</v>
      </c>
      <c r="Q107" t="str">
        <f t="shared" si="1"/>
        <v>CROSSBORDERRESOURCESINC14282GILLISROADFARMERSBRANCH</v>
      </c>
    </row>
    <row r="108" spans="1:17" x14ac:dyDescent="0.25">
      <c r="A108" s="29"/>
      <c r="B108" s="29"/>
      <c r="C108" s="94" t="s">
        <v>831</v>
      </c>
      <c r="D108" s="93" t="s">
        <v>832</v>
      </c>
      <c r="E108" s="29"/>
      <c r="F108" s="93" t="s">
        <v>88</v>
      </c>
      <c r="G108" s="93" t="s">
        <v>80</v>
      </c>
      <c r="H108" s="93">
        <v>76102</v>
      </c>
      <c r="I108" s="93" t="s">
        <v>62</v>
      </c>
      <c r="J108" s="29"/>
      <c r="K108" s="110">
        <v>155</v>
      </c>
      <c r="L108" s="110">
        <v>289</v>
      </c>
      <c r="M108" s="110">
        <v>8482729</v>
      </c>
      <c r="N108" s="110">
        <v>702657</v>
      </c>
      <c r="O108" s="29" t="s">
        <v>4386</v>
      </c>
      <c r="P108" s="126">
        <v>106</v>
      </c>
      <c r="Q108" t="str">
        <f t="shared" si="1"/>
        <v>CROSSTIMBERSENERGYLLC400WEST7THSTREETFORTWORTH</v>
      </c>
    </row>
    <row r="109" spans="1:17" x14ac:dyDescent="0.25">
      <c r="A109" s="29"/>
      <c r="B109" s="29"/>
      <c r="C109" s="94" t="s">
        <v>840</v>
      </c>
      <c r="D109" s="93" t="s">
        <v>841</v>
      </c>
      <c r="E109" s="29"/>
      <c r="F109" s="93" t="s">
        <v>153</v>
      </c>
      <c r="G109" s="93" t="s">
        <v>80</v>
      </c>
      <c r="H109" s="93">
        <v>79710</v>
      </c>
      <c r="I109" s="93" t="s">
        <v>62</v>
      </c>
      <c r="J109" s="29"/>
      <c r="K109" s="110">
        <v>2</v>
      </c>
      <c r="L109" s="110">
        <v>11</v>
      </c>
      <c r="M109" s="110">
        <v>30650</v>
      </c>
      <c r="N109" s="110">
        <v>10967</v>
      </c>
      <c r="O109" s="29" t="s">
        <v>4386</v>
      </c>
      <c r="P109" s="126">
        <v>107</v>
      </c>
      <c r="Q109" t="str">
        <f t="shared" si="1"/>
        <v>CROWNQUESTOPERATINGLLCPOBOX53310MIDLAND</v>
      </c>
    </row>
    <row r="110" spans="1:17" x14ac:dyDescent="0.25">
      <c r="A110" s="29"/>
      <c r="B110" s="29" t="s">
        <v>4472</v>
      </c>
      <c r="C110" s="92" t="s">
        <v>847</v>
      </c>
      <c r="D110" s="103" t="s">
        <v>848</v>
      </c>
      <c r="E110" s="100" t="s">
        <v>849</v>
      </c>
      <c r="F110" s="103" t="s">
        <v>850</v>
      </c>
      <c r="G110" s="100" t="s">
        <v>851</v>
      </c>
      <c r="H110" s="103">
        <v>37129</v>
      </c>
      <c r="I110" s="93" t="s">
        <v>62</v>
      </c>
      <c r="J110" s="29"/>
      <c r="K110" s="110">
        <v>0</v>
      </c>
      <c r="L110" s="110">
        <v>0</v>
      </c>
      <c r="M110" s="110">
        <v>0</v>
      </c>
      <c r="N110" s="110">
        <v>0</v>
      </c>
      <c r="O110" s="29" t="s">
        <v>4385</v>
      </c>
      <c r="P110" s="126">
        <v>108</v>
      </c>
      <c r="Q110" t="str">
        <f t="shared" si="1"/>
        <v>D&amp;DOILCOMPANY120BRIDGEAVEMURFREESBORO</v>
      </c>
    </row>
    <row r="111" spans="1:17" x14ac:dyDescent="0.25">
      <c r="A111" s="29"/>
      <c r="B111" s="29"/>
      <c r="C111" s="94" t="s">
        <v>860</v>
      </c>
      <c r="D111" s="93" t="s">
        <v>861</v>
      </c>
      <c r="E111" s="29"/>
      <c r="F111" s="93" t="s">
        <v>112</v>
      </c>
      <c r="G111" s="93" t="s">
        <v>80</v>
      </c>
      <c r="H111" s="93">
        <v>77042</v>
      </c>
      <c r="I111" s="93" t="s">
        <v>62</v>
      </c>
      <c r="J111" s="29"/>
      <c r="K111" s="110">
        <v>0</v>
      </c>
      <c r="L111" s="110">
        <v>1</v>
      </c>
      <c r="M111" s="110">
        <v>10596</v>
      </c>
      <c r="N111" s="110">
        <v>0</v>
      </c>
      <c r="O111" s="29" t="s">
        <v>4386</v>
      </c>
      <c r="P111" s="126">
        <v>109</v>
      </c>
      <c r="Q111" t="str">
        <f t="shared" si="1"/>
        <v>DMSOILCO3000WILCRESTHOUSTON</v>
      </c>
    </row>
    <row r="112" spans="1:17" x14ac:dyDescent="0.25">
      <c r="A112" s="29"/>
      <c r="B112" s="29"/>
      <c r="C112" s="94" t="s">
        <v>867</v>
      </c>
      <c r="D112" s="93" t="s">
        <v>868</v>
      </c>
      <c r="E112" s="29"/>
      <c r="F112" s="93" t="s">
        <v>869</v>
      </c>
      <c r="G112" s="93" t="s">
        <v>80</v>
      </c>
      <c r="H112" s="93">
        <v>79536</v>
      </c>
      <c r="I112" s="93" t="s">
        <v>62</v>
      </c>
      <c r="J112" s="29"/>
      <c r="K112" s="110">
        <v>3</v>
      </c>
      <c r="L112" s="110">
        <v>0</v>
      </c>
      <c r="M112" s="110">
        <v>15706</v>
      </c>
      <c r="N112" s="110">
        <v>13897</v>
      </c>
      <c r="O112" s="29" t="s">
        <v>4386</v>
      </c>
      <c r="P112" s="126">
        <v>110</v>
      </c>
      <c r="Q112" t="str">
        <f t="shared" si="1"/>
        <v>DWROILPROPERTIESINCPOBOX657MERKEL</v>
      </c>
    </row>
    <row r="113" spans="1:17" x14ac:dyDescent="0.25">
      <c r="A113" s="29"/>
      <c r="B113" s="29"/>
      <c r="C113" s="94" t="s">
        <v>870</v>
      </c>
      <c r="D113" s="93" t="s">
        <v>871</v>
      </c>
      <c r="E113" s="29"/>
      <c r="F113" s="93" t="s">
        <v>153</v>
      </c>
      <c r="G113" s="93" t="s">
        <v>80</v>
      </c>
      <c r="H113" s="93">
        <v>79707</v>
      </c>
      <c r="I113" s="93" t="s">
        <v>62</v>
      </c>
      <c r="J113" s="29"/>
      <c r="K113" s="110">
        <v>1</v>
      </c>
      <c r="L113" s="110">
        <v>10</v>
      </c>
      <c r="M113" s="110">
        <v>25644</v>
      </c>
      <c r="N113" s="110">
        <v>23565</v>
      </c>
      <c r="O113" s="29" t="s">
        <v>4386</v>
      </c>
      <c r="P113" s="126">
        <v>111</v>
      </c>
      <c r="Q113" t="str">
        <f t="shared" si="1"/>
        <v>DAKOTARESOURCESINC(I)4519SANTAROSAMIDLAND</v>
      </c>
    </row>
    <row r="114" spans="1:17" x14ac:dyDescent="0.25">
      <c r="A114" s="29"/>
      <c r="B114" s="29"/>
      <c r="C114" s="94" t="s">
        <v>877</v>
      </c>
      <c r="D114" s="93" t="s">
        <v>878</v>
      </c>
      <c r="E114" s="29"/>
      <c r="F114" s="93" t="s">
        <v>153</v>
      </c>
      <c r="G114" s="93" t="s">
        <v>80</v>
      </c>
      <c r="H114" s="93">
        <v>79701</v>
      </c>
      <c r="I114" s="93" t="s">
        <v>62</v>
      </c>
      <c r="J114" s="29"/>
      <c r="K114" s="110">
        <v>3</v>
      </c>
      <c r="L114" s="110">
        <v>10</v>
      </c>
      <c r="M114" s="110">
        <v>215780</v>
      </c>
      <c r="N114" s="110">
        <v>5289</v>
      </c>
      <c r="O114" s="29" t="s">
        <v>4386</v>
      </c>
      <c r="P114" s="126">
        <v>112</v>
      </c>
      <c r="Q114" t="str">
        <f t="shared" si="1"/>
        <v>DAVIDHARRINGTONOIL&amp;GASINC500WWALLSTMIDLAND</v>
      </c>
    </row>
    <row r="115" spans="1:17" x14ac:dyDescent="0.25">
      <c r="A115" s="29"/>
      <c r="B115" s="29"/>
      <c r="C115" s="94" t="s">
        <v>884</v>
      </c>
      <c r="D115" s="93" t="s">
        <v>885</v>
      </c>
      <c r="E115" s="29"/>
      <c r="F115" s="93" t="s">
        <v>123</v>
      </c>
      <c r="G115" s="93" t="s">
        <v>84</v>
      </c>
      <c r="H115" s="93">
        <v>87401</v>
      </c>
      <c r="I115" s="93" t="s">
        <v>62</v>
      </c>
      <c r="J115" s="29"/>
      <c r="K115" s="110">
        <v>0</v>
      </c>
      <c r="L115" s="110">
        <v>1</v>
      </c>
      <c r="M115" s="110">
        <v>181</v>
      </c>
      <c r="N115" s="110">
        <v>0</v>
      </c>
      <c r="O115" s="29" t="s">
        <v>4386</v>
      </c>
      <c r="P115" s="126">
        <v>113</v>
      </c>
      <c r="Q115" t="str">
        <f t="shared" si="1"/>
        <v>DAVIDRHINSONPOBOX3887FARMINGTON</v>
      </c>
    </row>
    <row r="116" spans="1:17" x14ac:dyDescent="0.25">
      <c r="A116" s="29"/>
      <c r="B116" s="29" t="s">
        <v>4472</v>
      </c>
      <c r="C116" s="92" t="s">
        <v>886</v>
      </c>
      <c r="D116" s="100" t="s">
        <v>887</v>
      </c>
      <c r="E116" s="29"/>
      <c r="F116" s="93" t="s">
        <v>153</v>
      </c>
      <c r="G116" s="93" t="s">
        <v>80</v>
      </c>
      <c r="H116" s="93">
        <v>79701</v>
      </c>
      <c r="I116" s="93" t="s">
        <v>62</v>
      </c>
      <c r="J116" s="29"/>
      <c r="K116" s="110">
        <v>0</v>
      </c>
      <c r="L116" s="110">
        <v>0</v>
      </c>
      <c r="M116" s="110">
        <v>0</v>
      </c>
      <c r="N116" s="110">
        <v>0</v>
      </c>
      <c r="O116" s="29" t="s">
        <v>4385</v>
      </c>
      <c r="P116" s="126">
        <v>114</v>
      </c>
      <c r="Q116" t="str">
        <f t="shared" si="1"/>
        <v>DAVISGASPROCESSING211NCOLORADOMIDLAND</v>
      </c>
    </row>
    <row r="117" spans="1:17" x14ac:dyDescent="0.25">
      <c r="A117" s="29"/>
      <c r="B117" s="29" t="s">
        <v>4472</v>
      </c>
      <c r="C117" s="92" t="s">
        <v>898</v>
      </c>
      <c r="D117" s="100" t="s">
        <v>899</v>
      </c>
      <c r="E117" s="29"/>
      <c r="F117" s="93" t="s">
        <v>153</v>
      </c>
      <c r="G117" s="93" t="s">
        <v>80</v>
      </c>
      <c r="H117" s="93">
        <v>79705</v>
      </c>
      <c r="I117" s="93" t="s">
        <v>62</v>
      </c>
      <c r="J117" s="29"/>
      <c r="K117" s="110">
        <v>0</v>
      </c>
      <c r="L117" s="110">
        <v>0</v>
      </c>
      <c r="M117" s="110">
        <v>0</v>
      </c>
      <c r="N117" s="110">
        <v>0</v>
      </c>
      <c r="O117" s="29" t="s">
        <v>4385</v>
      </c>
      <c r="P117" s="126">
        <v>115</v>
      </c>
      <c r="Q117" t="str">
        <f t="shared" si="1"/>
        <v>DCPOPERATINGCOMPANYLP10DESTADRIVEMIDLAND</v>
      </c>
    </row>
    <row r="118" spans="1:17" x14ac:dyDescent="0.25">
      <c r="A118" s="29"/>
      <c r="B118" s="29" t="s">
        <v>4472</v>
      </c>
      <c r="C118" s="92" t="s">
        <v>905</v>
      </c>
      <c r="D118" s="100" t="s">
        <v>906</v>
      </c>
      <c r="E118" s="29"/>
      <c r="F118" s="93" t="s">
        <v>60</v>
      </c>
      <c r="G118" s="93" t="s">
        <v>61</v>
      </c>
      <c r="H118" s="93">
        <v>80202</v>
      </c>
      <c r="I118" s="93" t="s">
        <v>62</v>
      </c>
      <c r="J118" s="29"/>
      <c r="K118" s="110">
        <v>0</v>
      </c>
      <c r="L118" s="110">
        <v>0</v>
      </c>
      <c r="M118" s="110">
        <v>0</v>
      </c>
      <c r="N118" s="110">
        <v>0</v>
      </c>
      <c r="O118" s="29" t="s">
        <v>4385</v>
      </c>
      <c r="P118" s="126">
        <v>116</v>
      </c>
      <c r="Q118" t="str">
        <f t="shared" si="1"/>
        <v>DELAWAREBASINMIDSTREAMLLC109918THSTREETDENVER</v>
      </c>
    </row>
    <row r="119" spans="1:17" x14ac:dyDescent="0.25">
      <c r="A119" s="29"/>
      <c r="B119" s="29" t="s">
        <v>4472</v>
      </c>
      <c r="C119" s="92" t="s">
        <v>907</v>
      </c>
      <c r="D119" s="100" t="s">
        <v>908</v>
      </c>
      <c r="E119" s="29"/>
      <c r="F119" s="93" t="s">
        <v>378</v>
      </c>
      <c r="G119" s="93" t="s">
        <v>80</v>
      </c>
      <c r="H119" s="93">
        <v>75201</v>
      </c>
      <c r="I119" s="93" t="s">
        <v>62</v>
      </c>
      <c r="J119" s="29"/>
      <c r="K119" s="110">
        <v>0</v>
      </c>
      <c r="L119" s="110">
        <v>0</v>
      </c>
      <c r="M119" s="110">
        <v>0</v>
      </c>
      <c r="N119" s="110">
        <v>0</v>
      </c>
      <c r="O119" s="29" t="s">
        <v>4385</v>
      </c>
      <c r="P119" s="126">
        <v>117</v>
      </c>
      <c r="Q119" t="str">
        <f t="shared" si="1"/>
        <v>DELAWAREG&amp;PLLC1722ROUTHSTREETDALLAS</v>
      </c>
    </row>
    <row r="120" spans="1:17" x14ac:dyDescent="0.25">
      <c r="A120" s="29"/>
      <c r="B120" s="29"/>
      <c r="C120" s="112" t="s">
        <v>4492</v>
      </c>
      <c r="D120" s="100" t="s">
        <v>919</v>
      </c>
      <c r="E120" s="29"/>
      <c r="F120" s="93" t="s">
        <v>585</v>
      </c>
      <c r="G120" s="93" t="s">
        <v>184</v>
      </c>
      <c r="H120" s="93">
        <v>73102</v>
      </c>
      <c r="I120" s="93" t="s">
        <v>62</v>
      </c>
      <c r="J120" s="29"/>
      <c r="K120" s="110">
        <v>844</v>
      </c>
      <c r="L120" s="110">
        <v>392</v>
      </c>
      <c r="M120" s="110">
        <v>191597016</v>
      </c>
      <c r="N120" s="110">
        <v>50174674</v>
      </c>
      <c r="O120" s="29" t="s">
        <v>4386</v>
      </c>
      <c r="P120" s="126">
        <v>118</v>
      </c>
      <c r="Q120" t="str">
        <f t="shared" si="1"/>
        <v>DEVONENERGYPRODUCTIONCOMPANYLP333WESTSHERIDANAVENUEOKLAHOMACITY</v>
      </c>
    </row>
    <row r="121" spans="1:17" x14ac:dyDescent="0.25">
      <c r="A121" s="29"/>
      <c r="B121" s="29"/>
      <c r="C121" s="94" t="s">
        <v>927</v>
      </c>
      <c r="D121" s="93" t="s">
        <v>928</v>
      </c>
      <c r="E121" s="29"/>
      <c r="F121" s="93" t="s">
        <v>112</v>
      </c>
      <c r="G121" s="93" t="s">
        <v>80</v>
      </c>
      <c r="H121" s="93">
        <v>77019</v>
      </c>
      <c r="I121" s="93" t="s">
        <v>62</v>
      </c>
      <c r="J121" s="29"/>
      <c r="K121" s="110">
        <v>2</v>
      </c>
      <c r="L121" s="110">
        <v>0</v>
      </c>
      <c r="M121" s="110">
        <v>112821</v>
      </c>
      <c r="N121" s="110">
        <v>61257</v>
      </c>
      <c r="O121" s="29" t="s">
        <v>4386</v>
      </c>
      <c r="P121" s="126">
        <v>119</v>
      </c>
      <c r="Q121" t="str">
        <f t="shared" si="1"/>
        <v>DGPENERGYLLC2323SSHEPHERDDRHOUSTON</v>
      </c>
    </row>
    <row r="122" spans="1:17" x14ac:dyDescent="0.25">
      <c r="A122" s="29"/>
      <c r="B122" s="29"/>
      <c r="C122" s="94" t="s">
        <v>936</v>
      </c>
      <c r="D122" s="93" t="s">
        <v>937</v>
      </c>
      <c r="E122" s="29"/>
      <c r="F122" s="93" t="s">
        <v>83</v>
      </c>
      <c r="G122" s="93" t="s">
        <v>84</v>
      </c>
      <c r="H122" s="93">
        <v>88210</v>
      </c>
      <c r="I122" s="93" t="s">
        <v>62</v>
      </c>
      <c r="J122" s="29"/>
      <c r="K122" s="110">
        <v>0</v>
      </c>
      <c r="L122" s="110">
        <v>9</v>
      </c>
      <c r="M122" s="110">
        <v>0</v>
      </c>
      <c r="N122" s="110">
        <v>191</v>
      </c>
      <c r="O122" s="29" t="s">
        <v>4386</v>
      </c>
      <c r="P122" s="126">
        <v>120</v>
      </c>
      <c r="Q122" t="str">
        <f t="shared" si="1"/>
        <v>DIAMONDINTHEROUGHLLC1406SPRUCELANEARTESIA</v>
      </c>
    </row>
    <row r="123" spans="1:17" x14ac:dyDescent="0.25">
      <c r="A123" s="29"/>
      <c r="B123" s="29"/>
      <c r="C123" s="94" t="s">
        <v>938</v>
      </c>
      <c r="D123" s="93" t="s">
        <v>939</v>
      </c>
      <c r="E123" s="29"/>
      <c r="F123" s="93" t="s">
        <v>153</v>
      </c>
      <c r="G123" s="93" t="s">
        <v>80</v>
      </c>
      <c r="H123" s="93">
        <v>79702</v>
      </c>
      <c r="I123" s="93" t="s">
        <v>62</v>
      </c>
      <c r="J123" s="29"/>
      <c r="K123" s="110">
        <v>1</v>
      </c>
      <c r="L123" s="110">
        <v>1</v>
      </c>
      <c r="M123" s="110">
        <v>67825</v>
      </c>
      <c r="N123" s="110">
        <v>1805</v>
      </c>
      <c r="O123" s="29" t="s">
        <v>4386</v>
      </c>
      <c r="P123" s="126">
        <v>121</v>
      </c>
      <c r="Q123" t="str">
        <f t="shared" si="1"/>
        <v>DINEROOPERATINGCOPOBOX10505MIDLAND</v>
      </c>
    </row>
    <row r="124" spans="1:17" x14ac:dyDescent="0.25">
      <c r="A124" s="29"/>
      <c r="B124" s="29" t="s">
        <v>4472</v>
      </c>
      <c r="C124" s="92" t="s">
        <v>947</v>
      </c>
      <c r="D124" s="100" t="s">
        <v>948</v>
      </c>
      <c r="E124" s="29"/>
      <c r="F124" s="93" t="s">
        <v>60</v>
      </c>
      <c r="G124" s="93" t="s">
        <v>61</v>
      </c>
      <c r="H124" s="93">
        <v>80202</v>
      </c>
      <c r="I124" s="93" t="s">
        <v>62</v>
      </c>
      <c r="J124" s="29"/>
      <c r="K124" s="110">
        <v>0</v>
      </c>
      <c r="L124" s="110">
        <v>0</v>
      </c>
      <c r="M124" s="110">
        <v>0</v>
      </c>
      <c r="N124" s="110">
        <v>0</v>
      </c>
      <c r="O124" s="29" t="s">
        <v>4385</v>
      </c>
      <c r="P124" s="126">
        <v>122</v>
      </c>
      <c r="Q124" t="str">
        <f t="shared" si="1"/>
        <v>DJROPERATINGLLCDENVER1600NBROADWAYDENVER</v>
      </c>
    </row>
    <row r="125" spans="1:17" x14ac:dyDescent="0.25">
      <c r="A125" s="29"/>
      <c r="B125" s="29"/>
      <c r="C125" s="112" t="s">
        <v>4493</v>
      </c>
      <c r="D125" s="100" t="s">
        <v>954</v>
      </c>
      <c r="E125" s="29"/>
      <c r="F125" s="93" t="s">
        <v>593</v>
      </c>
      <c r="G125" s="93" t="s">
        <v>84</v>
      </c>
      <c r="H125" s="93">
        <v>87410</v>
      </c>
      <c r="I125" s="93" t="s">
        <v>62</v>
      </c>
      <c r="J125" s="29"/>
      <c r="K125" s="110">
        <v>137</v>
      </c>
      <c r="L125" s="110">
        <v>440</v>
      </c>
      <c r="M125" s="110">
        <v>13657335</v>
      </c>
      <c r="N125" s="110">
        <v>3221259</v>
      </c>
      <c r="O125" s="29" t="s">
        <v>4386</v>
      </c>
      <c r="P125" s="126">
        <v>123</v>
      </c>
      <c r="Q125" t="str">
        <f t="shared" si="1"/>
        <v>DJROPERATINGLLC1ROAD3263AZTEC</v>
      </c>
    </row>
    <row r="126" spans="1:17" x14ac:dyDescent="0.25">
      <c r="A126" s="29"/>
      <c r="B126" s="29"/>
      <c r="C126" s="94" t="s">
        <v>959</v>
      </c>
      <c r="D126" s="93" t="s">
        <v>960</v>
      </c>
      <c r="E126" s="93" t="s">
        <v>961</v>
      </c>
      <c r="F126" s="93" t="s">
        <v>962</v>
      </c>
      <c r="G126" s="93" t="s">
        <v>84</v>
      </c>
      <c r="H126" s="93">
        <v>88267</v>
      </c>
      <c r="I126" s="93" t="s">
        <v>62</v>
      </c>
      <c r="J126" s="29"/>
      <c r="K126" s="110">
        <v>0</v>
      </c>
      <c r="L126" s="110">
        <v>2</v>
      </c>
      <c r="M126" s="110">
        <v>0</v>
      </c>
      <c r="N126" s="110">
        <v>5432</v>
      </c>
      <c r="O126" s="29" t="s">
        <v>4386</v>
      </c>
      <c r="P126" s="126">
        <v>124</v>
      </c>
      <c r="Q126" t="str">
        <f t="shared" si="1"/>
        <v>DKDLLC718WESTBROADWAYTATUM</v>
      </c>
    </row>
    <row r="127" spans="1:17" x14ac:dyDescent="0.25">
      <c r="A127" s="29"/>
      <c r="B127" s="29" t="s">
        <v>4472</v>
      </c>
      <c r="C127" s="92" t="s">
        <v>963</v>
      </c>
      <c r="D127" s="100" t="s">
        <v>964</v>
      </c>
      <c r="E127" s="29"/>
      <c r="F127" s="93" t="s">
        <v>378</v>
      </c>
      <c r="G127" s="93" t="s">
        <v>80</v>
      </c>
      <c r="H127" s="93">
        <v>75240</v>
      </c>
      <c r="I127" s="93" t="s">
        <v>62</v>
      </c>
      <c r="J127" s="29"/>
      <c r="K127" s="110">
        <v>0</v>
      </c>
      <c r="L127" s="110">
        <v>0</v>
      </c>
      <c r="M127" s="110">
        <v>0</v>
      </c>
      <c r="N127" s="110">
        <v>0</v>
      </c>
      <c r="O127" s="29" t="s">
        <v>4385</v>
      </c>
      <c r="P127" s="126">
        <v>125</v>
      </c>
      <c r="Q127" t="str">
        <f t="shared" si="1"/>
        <v>DLKBLACKRIVERMIDSTREAMLLC5400LBJFREEWAYDALLAS</v>
      </c>
    </row>
    <row r="128" spans="1:17" x14ac:dyDescent="0.25">
      <c r="A128" s="29"/>
      <c r="B128" s="29"/>
      <c r="C128" s="94" t="s">
        <v>970</v>
      </c>
      <c r="D128" s="93" t="s">
        <v>971</v>
      </c>
      <c r="E128" s="29"/>
      <c r="F128" s="93" t="s">
        <v>972</v>
      </c>
      <c r="G128" s="93" t="s">
        <v>973</v>
      </c>
      <c r="H128" s="93">
        <v>33606</v>
      </c>
      <c r="I128" s="93" t="s">
        <v>62</v>
      </c>
      <c r="J128" s="29"/>
      <c r="K128" s="110">
        <v>0</v>
      </c>
      <c r="L128" s="110">
        <v>12</v>
      </c>
      <c r="M128" s="110">
        <v>0</v>
      </c>
      <c r="N128" s="110">
        <v>1822</v>
      </c>
      <c r="O128" s="29" t="s">
        <v>4386</v>
      </c>
      <c r="P128" s="126">
        <v>126</v>
      </c>
      <c r="Q128" t="str">
        <f t="shared" si="1"/>
        <v>DOMINIONPRODUCTIONCOMPANYLLC1414WSWANNAVENUETAMPA</v>
      </c>
    </row>
    <row r="129" spans="1:17" x14ac:dyDescent="0.25">
      <c r="A129" s="29"/>
      <c r="B129" s="29"/>
      <c r="C129" s="94" t="s">
        <v>980</v>
      </c>
      <c r="D129" s="93" t="s">
        <v>293</v>
      </c>
      <c r="E129" s="29"/>
      <c r="F129" s="93" t="s">
        <v>206</v>
      </c>
      <c r="G129" s="93" t="s">
        <v>84</v>
      </c>
      <c r="H129" s="93">
        <v>88240</v>
      </c>
      <c r="I129" s="93" t="s">
        <v>62</v>
      </c>
      <c r="J129" s="29"/>
      <c r="K129" s="110">
        <v>1</v>
      </c>
      <c r="L129" s="110">
        <v>5</v>
      </c>
      <c r="M129" s="110">
        <v>3078</v>
      </c>
      <c r="N129" s="110">
        <v>5002</v>
      </c>
      <c r="O129" s="29" t="s">
        <v>4386</v>
      </c>
      <c r="P129" s="126">
        <v>127</v>
      </c>
      <c r="Q129" t="str">
        <f t="shared" si="1"/>
        <v>DRIFTWOODOILLLC1008WESTBROADWAYHOBBS</v>
      </c>
    </row>
    <row r="130" spans="1:17" x14ac:dyDescent="0.25">
      <c r="A130" s="29"/>
      <c r="B130" s="29" t="s">
        <v>4494</v>
      </c>
      <c r="C130" s="99" t="s">
        <v>981</v>
      </c>
      <c r="D130" s="100" t="s">
        <v>982</v>
      </c>
      <c r="E130" s="29"/>
      <c r="F130" s="93" t="s">
        <v>123</v>
      </c>
      <c r="G130" s="93" t="s">
        <v>84</v>
      </c>
      <c r="H130" s="93">
        <v>87499</v>
      </c>
      <c r="I130" s="93" t="s">
        <v>62</v>
      </c>
      <c r="J130" s="29"/>
      <c r="K130" s="110">
        <v>0</v>
      </c>
      <c r="L130" s="110">
        <v>0</v>
      </c>
      <c r="M130" s="110">
        <v>0</v>
      </c>
      <c r="N130" s="110">
        <v>0</v>
      </c>
      <c r="O130" s="29" t="s">
        <v>4385</v>
      </c>
      <c r="P130" s="126">
        <v>128</v>
      </c>
      <c r="Q130" t="str">
        <f t="shared" si="1"/>
        <v>DUGANPRODUCTIONCORPPOBOX420FARMINGTON</v>
      </c>
    </row>
    <row r="131" spans="1:17" x14ac:dyDescent="0.25">
      <c r="A131" s="29"/>
      <c r="B131" s="29"/>
      <c r="C131" s="102" t="s">
        <v>988</v>
      </c>
      <c r="D131" s="93" t="s">
        <v>989</v>
      </c>
      <c r="E131" s="29"/>
      <c r="F131" s="93" t="s">
        <v>123</v>
      </c>
      <c r="G131" s="93" t="s">
        <v>84</v>
      </c>
      <c r="H131" s="93">
        <v>87499</v>
      </c>
      <c r="I131" s="93" t="s">
        <v>62</v>
      </c>
      <c r="J131" s="29"/>
      <c r="K131" s="110">
        <v>138</v>
      </c>
      <c r="L131" s="110">
        <v>854</v>
      </c>
      <c r="M131" s="110">
        <v>12463847</v>
      </c>
      <c r="N131" s="110">
        <v>109704</v>
      </c>
      <c r="O131" s="29" t="s">
        <v>4386</v>
      </c>
      <c r="P131" s="126">
        <v>129</v>
      </c>
      <c r="Q131" t="str">
        <f t="shared" si="1"/>
        <v>DUGANPRODUCTIONCORP709EMURRAYDRIVEFARMINGTON</v>
      </c>
    </row>
    <row r="132" spans="1:17" x14ac:dyDescent="0.25">
      <c r="A132" s="29"/>
      <c r="B132" s="29"/>
      <c r="C132" s="94" t="s">
        <v>990</v>
      </c>
      <c r="D132" s="93" t="s">
        <v>293</v>
      </c>
      <c r="E132" s="29"/>
      <c r="F132" s="93" t="s">
        <v>206</v>
      </c>
      <c r="G132" s="93" t="s">
        <v>84</v>
      </c>
      <c r="H132" s="93">
        <v>88240</v>
      </c>
      <c r="I132" s="93" t="s">
        <v>62</v>
      </c>
      <c r="J132" s="29"/>
      <c r="K132" s="110">
        <v>0</v>
      </c>
      <c r="L132" s="110">
        <v>58</v>
      </c>
      <c r="M132" s="110">
        <v>0</v>
      </c>
      <c r="N132" s="110">
        <v>8052</v>
      </c>
      <c r="O132" s="29" t="s">
        <v>4386</v>
      </c>
      <c r="P132" s="126">
        <v>130</v>
      </c>
      <c r="Q132" t="str">
        <f t="shared" ref="Q132:Q195" si="2">UPPER(SUBSTITUTE(SUBSTITUTE(SUBSTITUTE(SUBSTITUTE(C132&amp;D132&amp;F132," ",""),".",""),",",""),"-",""))</f>
        <v>DWIGHTATIPTON1008WESTBROADWAYHOBBS</v>
      </c>
    </row>
    <row r="133" spans="1:17" x14ac:dyDescent="0.25">
      <c r="A133" s="29"/>
      <c r="B133" s="29"/>
      <c r="C133" s="94" t="s">
        <v>991</v>
      </c>
      <c r="D133" s="93" t="s">
        <v>992</v>
      </c>
      <c r="E133" s="29"/>
      <c r="F133" s="93" t="s">
        <v>153</v>
      </c>
      <c r="G133" s="93" t="s">
        <v>80</v>
      </c>
      <c r="H133" s="93">
        <v>79701</v>
      </c>
      <c r="I133" s="93" t="s">
        <v>62</v>
      </c>
      <c r="J133" s="29"/>
      <c r="K133" s="110">
        <v>1</v>
      </c>
      <c r="L133" s="110">
        <v>0</v>
      </c>
      <c r="M133" s="110">
        <v>0</v>
      </c>
      <c r="N133" s="110">
        <v>965</v>
      </c>
      <c r="O133" s="29" t="s">
        <v>4386</v>
      </c>
      <c r="P133" s="126">
        <v>131</v>
      </c>
      <c r="Q133" t="str">
        <f t="shared" si="2"/>
        <v>DYADPETROLEUMCOMPANY306WWALLMIDLAND</v>
      </c>
    </row>
    <row r="134" spans="1:17" x14ac:dyDescent="0.25">
      <c r="A134" s="29"/>
      <c r="B134" s="29"/>
      <c r="C134" s="94" t="s">
        <v>996</v>
      </c>
      <c r="D134" s="93" t="s">
        <v>997</v>
      </c>
      <c r="E134" s="29"/>
      <c r="F134" s="93" t="s">
        <v>153</v>
      </c>
      <c r="G134" s="93" t="s">
        <v>80</v>
      </c>
      <c r="H134" s="93">
        <v>79702</v>
      </c>
      <c r="I134" s="93" t="s">
        <v>62</v>
      </c>
      <c r="J134" s="29"/>
      <c r="K134" s="110">
        <v>7</v>
      </c>
      <c r="L134" s="110">
        <v>10</v>
      </c>
      <c r="M134" s="110">
        <v>275869</v>
      </c>
      <c r="N134" s="110">
        <v>43840</v>
      </c>
      <c r="O134" s="29" t="s">
        <v>4386</v>
      </c>
      <c r="P134" s="126">
        <v>132</v>
      </c>
      <c r="Q134" t="str">
        <f t="shared" si="2"/>
        <v>EGLRESOURCESINCPOBOX10886MIDLAND</v>
      </c>
    </row>
    <row r="135" spans="1:17" x14ac:dyDescent="0.25">
      <c r="A135" s="29"/>
      <c r="B135" s="29"/>
      <c r="C135" s="94" t="s">
        <v>1003</v>
      </c>
      <c r="D135" s="93" t="s">
        <v>1004</v>
      </c>
      <c r="E135" s="29"/>
      <c r="F135" s="93" t="s">
        <v>153</v>
      </c>
      <c r="G135" s="93" t="s">
        <v>80</v>
      </c>
      <c r="H135" s="93">
        <v>79702</v>
      </c>
      <c r="I135" s="93" t="s">
        <v>62</v>
      </c>
      <c r="J135" s="29"/>
      <c r="K135" s="110">
        <v>0</v>
      </c>
      <c r="L135" s="110">
        <v>27</v>
      </c>
      <c r="M135" s="110">
        <v>66098</v>
      </c>
      <c r="N135" s="110">
        <v>18460</v>
      </c>
      <c r="O135" s="29" t="s">
        <v>4386</v>
      </c>
      <c r="P135" s="126">
        <v>133</v>
      </c>
      <c r="Q135" t="str">
        <f t="shared" si="2"/>
        <v>EASTLANDOILCOPOBOX3488MIDLAND</v>
      </c>
    </row>
    <row r="136" spans="1:17" x14ac:dyDescent="0.25">
      <c r="A136" s="29"/>
      <c r="B136" s="29" t="s">
        <v>4472</v>
      </c>
      <c r="C136" s="92" t="s">
        <v>1011</v>
      </c>
      <c r="D136" s="100" t="s">
        <v>4495</v>
      </c>
      <c r="E136" s="29"/>
      <c r="F136" s="93" t="s">
        <v>153</v>
      </c>
      <c r="G136" s="93" t="s">
        <v>80</v>
      </c>
      <c r="H136" s="93">
        <v>79705</v>
      </c>
      <c r="I136" s="93" t="s">
        <v>62</v>
      </c>
      <c r="J136" s="29"/>
      <c r="K136" s="110">
        <v>0</v>
      </c>
      <c r="L136" s="110">
        <v>0</v>
      </c>
      <c r="M136" s="110">
        <v>0</v>
      </c>
      <c r="N136" s="110">
        <v>0</v>
      </c>
      <c r="O136" s="29" t="s">
        <v>4385</v>
      </c>
      <c r="P136" s="126">
        <v>134</v>
      </c>
      <c r="Q136" t="str">
        <f t="shared" si="2"/>
        <v>ELPASOFIELDSERVICES3300NORTH"A"STREETMIDLAND</v>
      </c>
    </row>
    <row r="137" spans="1:17" x14ac:dyDescent="0.25">
      <c r="A137" s="29"/>
      <c r="B137" s="29" t="s">
        <v>4472</v>
      </c>
      <c r="C137" s="92" t="s">
        <v>1019</v>
      </c>
      <c r="D137" s="100" t="s">
        <v>1020</v>
      </c>
      <c r="E137" s="29"/>
      <c r="F137" s="93" t="s">
        <v>1021</v>
      </c>
      <c r="G137" s="93" t="s">
        <v>61</v>
      </c>
      <c r="H137" s="93">
        <v>80903</v>
      </c>
      <c r="I137" s="93" t="s">
        <v>62</v>
      </c>
      <c r="J137" s="29"/>
      <c r="K137" s="110">
        <v>0</v>
      </c>
      <c r="L137" s="110">
        <v>0</v>
      </c>
      <c r="M137" s="110">
        <v>0</v>
      </c>
      <c r="N137" s="110">
        <v>0</v>
      </c>
      <c r="O137" s="29" t="s">
        <v>4385</v>
      </c>
      <c r="P137" s="126">
        <v>135</v>
      </c>
      <c r="Q137" t="str">
        <f t="shared" si="2"/>
        <v>ELPASONATURALGASCOMPANYLLC2NORTHNEVADAAVENUECOLORADOSPRINGS</v>
      </c>
    </row>
    <row r="138" spans="1:17" x14ac:dyDescent="0.25">
      <c r="A138" s="29"/>
      <c r="B138" s="29" t="s">
        <v>4472</v>
      </c>
      <c r="C138" s="104" t="s">
        <v>1033</v>
      </c>
      <c r="D138" s="105" t="s">
        <v>1034</v>
      </c>
      <c r="E138" s="29"/>
      <c r="F138" s="93" t="s">
        <v>1035</v>
      </c>
      <c r="G138" s="100" t="s">
        <v>84</v>
      </c>
      <c r="H138" s="100">
        <v>87413</v>
      </c>
      <c r="I138" s="93" t="s">
        <v>62</v>
      </c>
      <c r="J138" s="29"/>
      <c r="K138" s="110">
        <v>0</v>
      </c>
      <c r="L138" s="110">
        <v>0</v>
      </c>
      <c r="M138" s="110">
        <v>0</v>
      </c>
      <c r="N138" s="110">
        <v>0</v>
      </c>
      <c r="O138" s="29" t="s">
        <v>4385</v>
      </c>
      <c r="P138" s="126">
        <v>136</v>
      </c>
      <c r="Q138" t="str">
        <f t="shared" si="2"/>
        <v>ELMRIDGEEXPLORATIONCOPOBOX156BLOOMFIELD</v>
      </c>
    </row>
    <row r="139" spans="1:17" x14ac:dyDescent="0.25">
      <c r="A139" s="29"/>
      <c r="B139" s="29" t="s">
        <v>4472</v>
      </c>
      <c r="C139" s="92" t="s">
        <v>1036</v>
      </c>
      <c r="D139" s="100" t="s">
        <v>1037</v>
      </c>
      <c r="E139" s="29"/>
      <c r="F139" s="93" t="s">
        <v>60</v>
      </c>
      <c r="G139" s="93" t="s">
        <v>61</v>
      </c>
      <c r="H139" s="93">
        <v>80202</v>
      </c>
      <c r="I139" s="93" t="s">
        <v>62</v>
      </c>
      <c r="J139" s="29"/>
      <c r="K139" s="110">
        <v>0</v>
      </c>
      <c r="L139" s="110">
        <v>0</v>
      </c>
      <c r="M139" s="110">
        <v>0</v>
      </c>
      <c r="N139" s="110">
        <v>0</v>
      </c>
      <c r="O139" s="29" t="s">
        <v>4385</v>
      </c>
      <c r="P139" s="126">
        <v>137</v>
      </c>
      <c r="Q139" t="str">
        <f t="shared" si="2"/>
        <v>ENCANAOIL&amp;GAS(USA)INC37017THSTREETDENVER</v>
      </c>
    </row>
    <row r="140" spans="1:17" x14ac:dyDescent="0.25">
      <c r="A140" s="29"/>
      <c r="B140" s="29"/>
      <c r="C140" s="94" t="s">
        <v>1045</v>
      </c>
      <c r="D140" s="93" t="s">
        <v>1046</v>
      </c>
      <c r="E140" s="29"/>
      <c r="F140" s="93" t="s">
        <v>153</v>
      </c>
      <c r="G140" s="93" t="s">
        <v>80</v>
      </c>
      <c r="H140" s="93">
        <v>79701</v>
      </c>
      <c r="I140" s="93" t="s">
        <v>62</v>
      </c>
      <c r="J140" s="29"/>
      <c r="K140" s="110">
        <v>35</v>
      </c>
      <c r="L140" s="110">
        <v>58</v>
      </c>
      <c r="M140" s="110">
        <v>1712800</v>
      </c>
      <c r="N140" s="110">
        <v>30933</v>
      </c>
      <c r="O140" s="29" t="s">
        <v>4386</v>
      </c>
      <c r="P140" s="126">
        <v>138</v>
      </c>
      <c r="Q140" t="str">
        <f t="shared" si="2"/>
        <v>ENDEAVORENERGYRESOURCESLP110NORTHMARIENFELDMIDLAND</v>
      </c>
    </row>
    <row r="141" spans="1:17" x14ac:dyDescent="0.25">
      <c r="A141" s="29"/>
      <c r="B141" s="29"/>
      <c r="C141" s="94" t="s">
        <v>1052</v>
      </c>
      <c r="D141" s="93" t="s">
        <v>1053</v>
      </c>
      <c r="E141" s="29"/>
      <c r="F141" s="93" t="s">
        <v>206</v>
      </c>
      <c r="G141" s="93" t="s">
        <v>84</v>
      </c>
      <c r="H141" s="93">
        <v>82240</v>
      </c>
      <c r="I141" s="93" t="s">
        <v>62</v>
      </c>
      <c r="J141" s="29"/>
      <c r="K141" s="110">
        <v>1</v>
      </c>
      <c r="L141" s="110">
        <v>4</v>
      </c>
      <c r="M141" s="110">
        <v>124101</v>
      </c>
      <c r="N141" s="110">
        <v>7465</v>
      </c>
      <c r="O141" s="29" t="s">
        <v>4386</v>
      </c>
      <c r="P141" s="126">
        <v>139</v>
      </c>
      <c r="Q141" t="str">
        <f t="shared" si="2"/>
        <v>ENDURAENERGYLLC513EZIAHOBBS</v>
      </c>
    </row>
    <row r="142" spans="1:17" x14ac:dyDescent="0.25">
      <c r="A142" s="29"/>
      <c r="B142" s="29"/>
      <c r="C142" s="94" t="s">
        <v>1059</v>
      </c>
      <c r="D142" s="93" t="s">
        <v>1060</v>
      </c>
      <c r="E142" s="29"/>
      <c r="F142" s="93" t="s">
        <v>1061</v>
      </c>
      <c r="G142" s="93" t="s">
        <v>61</v>
      </c>
      <c r="H142" s="93">
        <v>80265</v>
      </c>
      <c r="I142" s="93" t="s">
        <v>62</v>
      </c>
      <c r="J142" s="29"/>
      <c r="K142" s="110">
        <v>377</v>
      </c>
      <c r="L142" s="110">
        <v>440</v>
      </c>
      <c r="M142" s="110">
        <v>37662797</v>
      </c>
      <c r="N142" s="110">
        <v>5343970</v>
      </c>
      <c r="O142" s="29" t="s">
        <v>4386</v>
      </c>
      <c r="P142" s="126">
        <v>140</v>
      </c>
      <c r="Q142" t="str">
        <f t="shared" si="2"/>
        <v>ENDURINGRESOURCESLLC105017THSTREETDENVER</v>
      </c>
    </row>
    <row r="143" spans="1:17" x14ac:dyDescent="0.25">
      <c r="A143" s="29"/>
      <c r="B143" s="29"/>
      <c r="C143" s="94" t="s">
        <v>1071</v>
      </c>
      <c r="D143" s="93" t="s">
        <v>1072</v>
      </c>
      <c r="E143" s="29"/>
      <c r="F143" s="93" t="s">
        <v>1073</v>
      </c>
      <c r="G143" s="93" t="s">
        <v>84</v>
      </c>
      <c r="H143" s="93">
        <v>87103</v>
      </c>
      <c r="I143" s="93" t="s">
        <v>62</v>
      </c>
      <c r="J143" s="29"/>
      <c r="K143" s="110">
        <v>0</v>
      </c>
      <c r="L143" s="110">
        <v>11</v>
      </c>
      <c r="M143" s="110">
        <v>7680</v>
      </c>
      <c r="N143" s="110">
        <v>1833</v>
      </c>
      <c r="O143" s="29" t="s">
        <v>4386</v>
      </c>
      <c r="P143" s="126">
        <v>141</v>
      </c>
      <c r="Q143" t="str">
        <f t="shared" si="2"/>
        <v>ENERDYNELLCPOBOX502ALBUQUERQUE</v>
      </c>
    </row>
    <row r="144" spans="1:17" x14ac:dyDescent="0.25">
      <c r="A144" s="29"/>
      <c r="B144" s="29" t="s">
        <v>4472</v>
      </c>
      <c r="C144" s="92" t="s">
        <v>1079</v>
      </c>
      <c r="D144" s="100" t="s">
        <v>1080</v>
      </c>
      <c r="E144" s="29"/>
      <c r="F144" s="93" t="s">
        <v>123</v>
      </c>
      <c r="G144" s="93" t="s">
        <v>84</v>
      </c>
      <c r="H144" s="93">
        <v>87401</v>
      </c>
      <c r="I144" s="93" t="s">
        <v>62</v>
      </c>
      <c r="J144" s="29"/>
      <c r="K144" s="110">
        <v>0</v>
      </c>
      <c r="L144" s="110">
        <v>0</v>
      </c>
      <c r="M144" s="110">
        <v>0</v>
      </c>
      <c r="N144" s="110">
        <v>0</v>
      </c>
      <c r="O144" s="29" t="s">
        <v>4385</v>
      </c>
      <c r="P144" s="126">
        <v>142</v>
      </c>
      <c r="Q144" t="str">
        <f t="shared" si="2"/>
        <v>ENERGENRESOURCES2010AFTONPLACEFARMINGTON</v>
      </c>
    </row>
    <row r="145" spans="1:17" x14ac:dyDescent="0.25">
      <c r="A145" s="29"/>
      <c r="B145" s="29"/>
      <c r="C145" s="94" t="s">
        <v>1091</v>
      </c>
      <c r="D145" s="93" t="s">
        <v>1092</v>
      </c>
      <c r="E145" s="29"/>
      <c r="F145" s="93" t="s">
        <v>153</v>
      </c>
      <c r="G145" s="93" t="s">
        <v>80</v>
      </c>
      <c r="H145" s="93">
        <v>79705</v>
      </c>
      <c r="I145" s="93" t="s">
        <v>62</v>
      </c>
      <c r="J145" s="29"/>
      <c r="K145" s="110">
        <v>1</v>
      </c>
      <c r="L145" s="110">
        <v>1</v>
      </c>
      <c r="M145" s="110">
        <v>147874</v>
      </c>
      <c r="N145" s="110">
        <v>39972</v>
      </c>
      <c r="O145" s="29" t="s">
        <v>4386</v>
      </c>
      <c r="P145" s="126">
        <v>143</v>
      </c>
      <c r="Q145" t="str">
        <f t="shared" si="2"/>
        <v>ENERGENRESOURCESCORPORATION3510NASTMIDLAND</v>
      </c>
    </row>
    <row r="146" spans="1:17" x14ac:dyDescent="0.25">
      <c r="A146" s="29"/>
      <c r="B146" s="29"/>
      <c r="C146" s="94" t="s">
        <v>1098</v>
      </c>
      <c r="D146" s="93" t="s">
        <v>1099</v>
      </c>
      <c r="E146" s="29"/>
      <c r="F146" s="93" t="s">
        <v>1100</v>
      </c>
      <c r="G146" s="93" t="s">
        <v>80</v>
      </c>
      <c r="H146" s="93">
        <v>79424</v>
      </c>
      <c r="I146" s="93" t="s">
        <v>62</v>
      </c>
      <c r="J146" s="29"/>
      <c r="K146" s="110">
        <v>1</v>
      </c>
      <c r="L146" s="110">
        <v>0</v>
      </c>
      <c r="M146" s="110">
        <v>11791</v>
      </c>
      <c r="N146" s="110">
        <v>10213</v>
      </c>
      <c r="O146" s="29" t="s">
        <v>4386</v>
      </c>
      <c r="P146" s="126">
        <v>144</v>
      </c>
      <c r="Q146" t="str">
        <f t="shared" si="2"/>
        <v>ENERGEXLLC442598THLUBBOCK</v>
      </c>
    </row>
    <row r="147" spans="1:17" x14ac:dyDescent="0.25">
      <c r="A147" s="29"/>
      <c r="B147" s="29" t="s">
        <v>4472</v>
      </c>
      <c r="C147" s="92" t="s">
        <v>1101</v>
      </c>
      <c r="D147" s="100" t="s">
        <v>1102</v>
      </c>
      <c r="E147" s="29"/>
      <c r="F147" s="93" t="s">
        <v>378</v>
      </c>
      <c r="G147" s="93" t="s">
        <v>80</v>
      </c>
      <c r="H147" s="93">
        <v>75225</v>
      </c>
      <c r="I147" s="93" t="s">
        <v>62</v>
      </c>
      <c r="J147" s="29"/>
      <c r="K147" s="110">
        <v>0</v>
      </c>
      <c r="L147" s="110">
        <v>0</v>
      </c>
      <c r="M147" s="110">
        <v>0</v>
      </c>
      <c r="N147" s="110">
        <v>0</v>
      </c>
      <c r="O147" s="29" t="s">
        <v>4385</v>
      </c>
      <c r="P147" s="126">
        <v>145</v>
      </c>
      <c r="Q147" t="str">
        <f t="shared" si="2"/>
        <v>ENERGYTRANSFERCOMPANY8111WESTCHESTERDRDALLAS</v>
      </c>
    </row>
    <row r="148" spans="1:17" x14ac:dyDescent="0.25">
      <c r="A148" s="29"/>
      <c r="B148" s="29"/>
      <c r="C148" s="94" t="s">
        <v>1113</v>
      </c>
      <c r="D148" s="93" t="s">
        <v>1114</v>
      </c>
      <c r="E148" s="29"/>
      <c r="F148" s="93" t="s">
        <v>161</v>
      </c>
      <c r="G148" s="93" t="s">
        <v>80</v>
      </c>
      <c r="H148" s="93">
        <v>77396</v>
      </c>
      <c r="I148" s="93" t="s">
        <v>62</v>
      </c>
      <c r="J148" s="29"/>
      <c r="K148" s="110">
        <v>1</v>
      </c>
      <c r="L148" s="110">
        <v>0</v>
      </c>
      <c r="M148" s="110">
        <v>0</v>
      </c>
      <c r="N148" s="110">
        <v>14</v>
      </c>
      <c r="O148" s="29" t="s">
        <v>4386</v>
      </c>
      <c r="P148" s="126">
        <v>146</v>
      </c>
      <c r="Q148" t="str">
        <f t="shared" si="2"/>
        <v>ENERGYQUESTIILLC4526RESEARCHFORESTDRTHEWOODLANDS</v>
      </c>
    </row>
    <row r="149" spans="1:17" x14ac:dyDescent="0.25">
      <c r="A149" s="29"/>
      <c r="B149" s="29"/>
      <c r="C149" s="94" t="s">
        <v>1120</v>
      </c>
      <c r="D149" s="93" t="s">
        <v>1121</v>
      </c>
      <c r="E149" s="29"/>
      <c r="F149" s="93" t="s">
        <v>112</v>
      </c>
      <c r="G149" s="93" t="s">
        <v>80</v>
      </c>
      <c r="H149" s="93">
        <v>77002</v>
      </c>
      <c r="I149" s="93" t="s">
        <v>62</v>
      </c>
      <c r="J149" s="29"/>
      <c r="K149" s="110">
        <v>151</v>
      </c>
      <c r="L149" s="110">
        <v>222</v>
      </c>
      <c r="M149" s="110">
        <v>8500082</v>
      </c>
      <c r="N149" s="110">
        <v>103371</v>
      </c>
      <c r="O149" s="29" t="s">
        <v>4386</v>
      </c>
      <c r="P149" s="126">
        <v>147</v>
      </c>
      <c r="Q149" t="str">
        <f t="shared" si="2"/>
        <v>ENERVESTOPERATINGLLC1001FANNINSTREETHOUSTON</v>
      </c>
    </row>
    <row r="150" spans="1:17" x14ac:dyDescent="0.25">
      <c r="A150" s="29"/>
      <c r="B150" s="29" t="s">
        <v>4472</v>
      </c>
      <c r="C150" s="92" t="s">
        <v>1129</v>
      </c>
      <c r="D150" s="100" t="s">
        <v>908</v>
      </c>
      <c r="E150" s="29"/>
      <c r="F150" s="93" t="s">
        <v>378</v>
      </c>
      <c r="G150" s="93" t="s">
        <v>80</v>
      </c>
      <c r="H150" s="93">
        <v>75201</v>
      </c>
      <c r="I150" s="93" t="s">
        <v>62</v>
      </c>
      <c r="J150" s="29"/>
      <c r="K150" s="110">
        <v>0</v>
      </c>
      <c r="L150" s="110">
        <v>0</v>
      </c>
      <c r="M150" s="110">
        <v>0</v>
      </c>
      <c r="N150" s="110">
        <v>0</v>
      </c>
      <c r="O150" s="29" t="s">
        <v>4385</v>
      </c>
      <c r="P150" s="126">
        <v>148</v>
      </c>
      <c r="Q150" t="str">
        <f t="shared" si="2"/>
        <v>ENLINKDELAWARECRUDEPIPELINELLC1722ROUTHSTREETDALLAS</v>
      </c>
    </row>
    <row r="151" spans="1:17" x14ac:dyDescent="0.25">
      <c r="A151" s="29"/>
      <c r="B151" s="29" t="s">
        <v>4472</v>
      </c>
      <c r="C151" s="92" t="s">
        <v>1138</v>
      </c>
      <c r="D151" s="100" t="s">
        <v>1139</v>
      </c>
      <c r="E151" s="29"/>
      <c r="F151" s="93" t="s">
        <v>112</v>
      </c>
      <c r="G151" s="93" t="s">
        <v>80</v>
      </c>
      <c r="H151" s="93">
        <v>77251</v>
      </c>
      <c r="I151" s="93" t="s">
        <v>62</v>
      </c>
      <c r="J151" s="29"/>
      <c r="K151" s="110">
        <v>0</v>
      </c>
      <c r="L151" s="110">
        <v>0</v>
      </c>
      <c r="M151" s="110">
        <v>0</v>
      </c>
      <c r="N151" s="110">
        <v>0</v>
      </c>
      <c r="O151" s="29" t="s">
        <v>4385</v>
      </c>
      <c r="P151" s="126">
        <v>149</v>
      </c>
      <c r="Q151" t="str">
        <f t="shared" si="2"/>
        <v>ENRONCORPORATIONPOBOX1188HOUSTON</v>
      </c>
    </row>
    <row r="152" spans="1:17" x14ac:dyDescent="0.25">
      <c r="A152" s="29"/>
      <c r="B152" s="29" t="s">
        <v>4472</v>
      </c>
      <c r="C152" s="92" t="s">
        <v>1146</v>
      </c>
      <c r="D152" s="100" t="s">
        <v>1147</v>
      </c>
      <c r="E152" s="29"/>
      <c r="F152" s="93" t="s">
        <v>112</v>
      </c>
      <c r="G152" s="93" t="s">
        <v>80</v>
      </c>
      <c r="H152" s="93">
        <v>77042</v>
      </c>
      <c r="I152" s="93" t="s">
        <v>62</v>
      </c>
      <c r="J152" s="29"/>
      <c r="K152" s="110">
        <v>0</v>
      </c>
      <c r="L152" s="110">
        <v>0</v>
      </c>
      <c r="M152" s="110">
        <v>0</v>
      </c>
      <c r="N152" s="110">
        <v>0</v>
      </c>
      <c r="O152" s="29" t="s">
        <v>4385</v>
      </c>
      <c r="P152" s="126">
        <v>150</v>
      </c>
      <c r="Q152" t="str">
        <f t="shared" si="2"/>
        <v>ENSTOROPERATINGCOMPANYLLC10375RICHMONDAVEHOUSTON</v>
      </c>
    </row>
    <row r="153" spans="1:17" x14ac:dyDescent="0.25">
      <c r="A153" s="29"/>
      <c r="B153" s="29" t="s">
        <v>4472</v>
      </c>
      <c r="C153" s="92" t="s">
        <v>1157</v>
      </c>
      <c r="D153" s="100" t="s">
        <v>1158</v>
      </c>
      <c r="E153" s="29"/>
      <c r="F153" s="93" t="s">
        <v>112</v>
      </c>
      <c r="G153" s="93" t="s">
        <v>80</v>
      </c>
      <c r="H153" s="93">
        <v>77208</v>
      </c>
      <c r="I153" s="93" t="s">
        <v>62</v>
      </c>
      <c r="J153" s="29"/>
      <c r="K153" s="110">
        <v>0</v>
      </c>
      <c r="L153" s="110">
        <v>0</v>
      </c>
      <c r="M153" s="110">
        <v>0</v>
      </c>
      <c r="N153" s="110">
        <v>0</v>
      </c>
      <c r="O153" s="29" t="s">
        <v>4385</v>
      </c>
      <c r="P153" s="126">
        <v>151</v>
      </c>
      <c r="Q153" t="str">
        <f t="shared" si="2"/>
        <v>ENTERPRISEFIELDSERVICESLLCPOBOX4324HOUSTON</v>
      </c>
    </row>
    <row r="154" spans="1:17" x14ac:dyDescent="0.25">
      <c r="A154" s="29"/>
      <c r="B154" s="29" t="s">
        <v>4496</v>
      </c>
      <c r="C154" s="99" t="s">
        <v>1169</v>
      </c>
      <c r="D154" s="100" t="s">
        <v>1170</v>
      </c>
      <c r="E154" s="29"/>
      <c r="F154" s="93" t="s">
        <v>303</v>
      </c>
      <c r="G154" s="93" t="s">
        <v>80</v>
      </c>
      <c r="H154" s="93">
        <v>79706</v>
      </c>
      <c r="I154" s="93" t="s">
        <v>62</v>
      </c>
      <c r="J154" s="29"/>
      <c r="K154" s="110">
        <v>0</v>
      </c>
      <c r="L154" s="110">
        <v>0</v>
      </c>
      <c r="M154" s="110">
        <v>0</v>
      </c>
      <c r="N154" s="110">
        <v>0</v>
      </c>
      <c r="O154" s="29" t="s">
        <v>4385</v>
      </c>
      <c r="P154" s="126">
        <v>152</v>
      </c>
      <c r="Q154" t="str">
        <f t="shared" si="2"/>
        <v>EOGRESOURCESINCMIDLANDDIVISION5509CHAMPIONSDRIVEMIDLAND</v>
      </c>
    </row>
    <row r="155" spans="1:17" x14ac:dyDescent="0.25">
      <c r="A155" s="29"/>
      <c r="B155" s="29"/>
      <c r="C155" s="102" t="s">
        <v>1176</v>
      </c>
      <c r="D155" s="93" t="s">
        <v>1177</v>
      </c>
      <c r="E155" s="29"/>
      <c r="F155" s="93" t="s">
        <v>153</v>
      </c>
      <c r="G155" s="93" t="s">
        <v>80</v>
      </c>
      <c r="H155" s="93">
        <v>79702</v>
      </c>
      <c r="I155" s="93" t="s">
        <v>62</v>
      </c>
      <c r="J155" s="29"/>
      <c r="K155" s="110">
        <v>1170</v>
      </c>
      <c r="L155" s="110">
        <v>847</v>
      </c>
      <c r="M155" s="110">
        <v>215594964</v>
      </c>
      <c r="N155" s="110">
        <v>75846044</v>
      </c>
      <c r="O155" s="29" t="s">
        <v>4386</v>
      </c>
      <c r="P155" s="126">
        <v>153</v>
      </c>
      <c r="Q155" t="str">
        <f t="shared" si="2"/>
        <v>EOGRESOURCESINCPOBOX2267MIDLAND</v>
      </c>
    </row>
    <row r="156" spans="1:17" x14ac:dyDescent="0.25">
      <c r="A156" s="29"/>
      <c r="B156" s="29" t="s">
        <v>4472</v>
      </c>
      <c r="C156" s="92" t="s">
        <v>1183</v>
      </c>
      <c r="D156" s="100" t="s">
        <v>1184</v>
      </c>
      <c r="E156" s="29"/>
      <c r="F156" s="93" t="s">
        <v>83</v>
      </c>
      <c r="G156" s="93" t="s">
        <v>84</v>
      </c>
      <c r="H156" s="93">
        <v>88210</v>
      </c>
      <c r="I156" s="93" t="s">
        <v>62</v>
      </c>
      <c r="J156" s="29"/>
      <c r="K156" s="110">
        <v>0</v>
      </c>
      <c r="L156" s="110">
        <v>0</v>
      </c>
      <c r="M156" s="110">
        <v>0</v>
      </c>
      <c r="N156" s="110">
        <v>0</v>
      </c>
      <c r="O156" s="29" t="s">
        <v>4385</v>
      </c>
      <c r="P156" s="126">
        <v>154</v>
      </c>
      <c r="Q156" t="str">
        <f t="shared" si="2"/>
        <v>EOGRESOURCESINCARTESIADIVISION105S4THSTREETARTESIA</v>
      </c>
    </row>
    <row r="157" spans="1:17" x14ac:dyDescent="0.25">
      <c r="A157" s="29"/>
      <c r="B157" s="29"/>
      <c r="C157" s="94" t="s">
        <v>1190</v>
      </c>
      <c r="D157" s="93" t="s">
        <v>1191</v>
      </c>
      <c r="E157" s="29"/>
      <c r="F157" s="93" t="s">
        <v>112</v>
      </c>
      <c r="G157" s="93" t="s">
        <v>80</v>
      </c>
      <c r="H157" s="93">
        <v>77079</v>
      </c>
      <c r="I157" s="93" t="s">
        <v>62</v>
      </c>
      <c r="J157" s="29"/>
      <c r="K157" s="110">
        <v>0</v>
      </c>
      <c r="L157" s="110">
        <v>23</v>
      </c>
      <c r="M157" s="110">
        <v>0</v>
      </c>
      <c r="N157" s="110">
        <v>18280</v>
      </c>
      <c r="O157" s="29" t="s">
        <v>4386</v>
      </c>
      <c r="P157" s="126">
        <v>155</v>
      </c>
      <c r="Q157" t="str">
        <f t="shared" si="2"/>
        <v>EOROPERATINGCOMPANY575NDAIRYASHFORDHOUSTON</v>
      </c>
    </row>
    <row r="158" spans="1:17" x14ac:dyDescent="0.25">
      <c r="A158" s="29"/>
      <c r="B158" s="29"/>
      <c r="C158" s="94" t="s">
        <v>1199</v>
      </c>
      <c r="D158" s="93" t="s">
        <v>1200</v>
      </c>
      <c r="E158" s="29"/>
      <c r="F158" s="93" t="s">
        <v>123</v>
      </c>
      <c r="G158" s="93" t="s">
        <v>84</v>
      </c>
      <c r="H158" s="93">
        <v>87402</v>
      </c>
      <c r="I158" s="93" t="s">
        <v>62</v>
      </c>
      <c r="J158" s="29"/>
      <c r="K158" s="110">
        <v>46</v>
      </c>
      <c r="L158" s="110">
        <v>370</v>
      </c>
      <c r="M158" s="110">
        <v>3715551</v>
      </c>
      <c r="N158" s="110">
        <v>155112</v>
      </c>
      <c r="O158" s="29" t="s">
        <v>4386</v>
      </c>
      <c r="P158" s="126">
        <v>156</v>
      </c>
      <c r="Q158" t="str">
        <f t="shared" si="2"/>
        <v>EPICENERGYLLC7415EMAINSTFARMINGTON</v>
      </c>
    </row>
    <row r="159" spans="1:17" x14ac:dyDescent="0.25">
      <c r="A159" s="29"/>
      <c r="B159" s="29"/>
      <c r="C159" s="94" t="s">
        <v>1201</v>
      </c>
      <c r="D159" s="93" t="s">
        <v>1202</v>
      </c>
      <c r="E159" s="29"/>
      <c r="F159" s="93" t="s">
        <v>1203</v>
      </c>
      <c r="G159" s="93" t="s">
        <v>184</v>
      </c>
      <c r="H159" s="93">
        <v>73083</v>
      </c>
      <c r="I159" s="93" t="s">
        <v>62</v>
      </c>
      <c r="J159" s="29"/>
      <c r="K159" s="110">
        <v>0</v>
      </c>
      <c r="L159" s="110">
        <v>5</v>
      </c>
      <c r="M159" s="110">
        <v>297314</v>
      </c>
      <c r="N159" s="110">
        <v>2741</v>
      </c>
      <c r="O159" s="29" t="s">
        <v>4386</v>
      </c>
      <c r="P159" s="126">
        <v>157</v>
      </c>
      <c r="Q159" t="str">
        <f t="shared" si="2"/>
        <v>ERNMARINVESTMENTSINCPOBOX6492EDMOND</v>
      </c>
    </row>
    <row r="160" spans="1:17" x14ac:dyDescent="0.25">
      <c r="A160" s="29"/>
      <c r="B160" s="29" t="s">
        <v>4472</v>
      </c>
      <c r="C160" s="92" t="s">
        <v>1209</v>
      </c>
      <c r="D160" s="100" t="s">
        <v>1102</v>
      </c>
      <c r="E160" s="29"/>
      <c r="F160" s="93" t="s">
        <v>378</v>
      </c>
      <c r="G160" s="93" t="s">
        <v>80</v>
      </c>
      <c r="H160" s="93">
        <v>75225</v>
      </c>
      <c r="I160" s="93" t="s">
        <v>62</v>
      </c>
      <c r="J160" s="29"/>
      <c r="K160" s="110">
        <v>0</v>
      </c>
      <c r="L160" s="110">
        <v>0</v>
      </c>
      <c r="M160" s="110">
        <v>0</v>
      </c>
      <c r="N160" s="110">
        <v>0</v>
      </c>
      <c r="O160" s="29" t="s">
        <v>4385</v>
      </c>
      <c r="P160" s="126">
        <v>158</v>
      </c>
      <c r="Q160" t="str">
        <f t="shared" si="2"/>
        <v>ETCTEXASPIPELINELTD8111WESTCHESTERDRDALLAS</v>
      </c>
    </row>
    <row r="161" spans="1:17" x14ac:dyDescent="0.25">
      <c r="A161" s="29"/>
      <c r="B161" s="29"/>
      <c r="C161" s="94" t="s">
        <v>1215</v>
      </c>
      <c r="D161" s="93" t="s">
        <v>1216</v>
      </c>
      <c r="E161" s="29"/>
      <c r="F161" s="93" t="s">
        <v>344</v>
      </c>
      <c r="G161" s="93" t="s">
        <v>80</v>
      </c>
      <c r="H161" s="93">
        <v>79714</v>
      </c>
      <c r="I161" s="93" t="s">
        <v>62</v>
      </c>
      <c r="J161" s="29"/>
      <c r="K161" s="110">
        <v>0</v>
      </c>
      <c r="L161" s="110">
        <v>5</v>
      </c>
      <c r="M161" s="110">
        <v>5093</v>
      </c>
      <c r="N161" s="110">
        <v>2041</v>
      </c>
      <c r="O161" s="29" t="s">
        <v>4386</v>
      </c>
      <c r="P161" s="126">
        <v>159</v>
      </c>
      <c r="Q161" t="str">
        <f t="shared" si="2"/>
        <v>ETLHYDROCARBONSINCPOBOX1413ANDREWS</v>
      </c>
    </row>
    <row r="162" spans="1:17" x14ac:dyDescent="0.25">
      <c r="A162" s="29"/>
      <c r="B162" s="29" t="s">
        <v>4472</v>
      </c>
      <c r="C162" s="92" t="s">
        <v>1222</v>
      </c>
      <c r="D162" s="100" t="s">
        <v>1223</v>
      </c>
      <c r="E162" s="29"/>
      <c r="F162" s="93" t="s">
        <v>1224</v>
      </c>
      <c r="G162" s="93" t="s">
        <v>1225</v>
      </c>
      <c r="H162" s="93">
        <v>28202</v>
      </c>
      <c r="I162" s="93" t="s">
        <v>62</v>
      </c>
      <c r="J162" s="29"/>
      <c r="K162" s="110">
        <v>0</v>
      </c>
      <c r="L162" s="110">
        <v>0</v>
      </c>
      <c r="M162" s="110">
        <v>0</v>
      </c>
      <c r="N162" s="110">
        <v>0</v>
      </c>
      <c r="O162" s="29" t="s">
        <v>4385</v>
      </c>
      <c r="P162" s="126">
        <v>160</v>
      </c>
      <c r="Q162" t="str">
        <f t="shared" si="2"/>
        <v>EVERGREENRESOURCES128STRYONSTCHARLOTTE</v>
      </c>
    </row>
    <row r="163" spans="1:17" x14ac:dyDescent="0.25">
      <c r="A163" s="29"/>
      <c r="B163" s="29"/>
      <c r="C163" s="94" t="s">
        <v>1226</v>
      </c>
      <c r="D163" s="93" t="s">
        <v>1227</v>
      </c>
      <c r="E163" s="29"/>
      <c r="F163" s="93" t="s">
        <v>1228</v>
      </c>
      <c r="G163" s="93" t="s">
        <v>80</v>
      </c>
      <c r="H163" s="93">
        <v>78624</v>
      </c>
      <c r="I163" s="93" t="s">
        <v>62</v>
      </c>
      <c r="J163" s="29"/>
      <c r="K163" s="110">
        <v>2</v>
      </c>
      <c r="L163" s="110">
        <v>10</v>
      </c>
      <c r="M163" s="110">
        <v>20763</v>
      </c>
      <c r="N163" s="110">
        <v>25258</v>
      </c>
      <c r="O163" s="29" t="s">
        <v>4386</v>
      </c>
      <c r="P163" s="126">
        <v>161</v>
      </c>
      <c r="Q163" t="str">
        <f t="shared" si="2"/>
        <v>EVERQUESTENERGYCORPORATION532COOLWATERRANCHRDFREDERICKSBURG</v>
      </c>
    </row>
    <row r="164" spans="1:17" x14ac:dyDescent="0.25">
      <c r="A164" s="29"/>
      <c r="B164" s="29" t="s">
        <v>4472</v>
      </c>
      <c r="C164" s="92" t="s">
        <v>1239</v>
      </c>
      <c r="D164" s="100" t="s">
        <v>1240</v>
      </c>
      <c r="E164" s="29"/>
      <c r="F164" s="93" t="s">
        <v>112</v>
      </c>
      <c r="G164" s="93" t="s">
        <v>80</v>
      </c>
      <c r="H164" s="93">
        <v>77060</v>
      </c>
      <c r="I164" s="93" t="s">
        <v>62</v>
      </c>
      <c r="J164" s="29"/>
      <c r="K164" s="110">
        <v>0</v>
      </c>
      <c r="L164" s="110">
        <v>0</v>
      </c>
      <c r="M164" s="110">
        <v>0</v>
      </c>
      <c r="N164" s="110">
        <v>0</v>
      </c>
      <c r="O164" s="29" t="s">
        <v>4385</v>
      </c>
      <c r="P164" s="126">
        <v>162</v>
      </c>
      <c r="Q164" t="str">
        <f t="shared" si="2"/>
        <v>EXTERRANENERGYSOLUTIONSLP16666NORTHCHASEDRIVEHOUSTON</v>
      </c>
    </row>
    <row r="165" spans="1:17" x14ac:dyDescent="0.25">
      <c r="A165" s="29"/>
      <c r="B165" s="29"/>
      <c r="C165" s="94" t="s">
        <v>1253</v>
      </c>
      <c r="D165" s="93" t="s">
        <v>1254</v>
      </c>
      <c r="E165" s="29"/>
      <c r="F165" s="93" t="s">
        <v>112</v>
      </c>
      <c r="G165" s="93" t="s">
        <v>80</v>
      </c>
      <c r="H165" s="93">
        <v>77079</v>
      </c>
      <c r="I165" s="93" t="s">
        <v>62</v>
      </c>
      <c r="J165" s="29"/>
      <c r="K165" s="110">
        <v>52</v>
      </c>
      <c r="L165" s="110">
        <v>246</v>
      </c>
      <c r="M165" s="110">
        <v>2879154</v>
      </c>
      <c r="N165" s="110">
        <v>66177</v>
      </c>
      <c r="O165" s="29" t="s">
        <v>4386</v>
      </c>
      <c r="P165" s="126">
        <v>163</v>
      </c>
      <c r="Q165" t="str">
        <f t="shared" si="2"/>
        <v>FAEIIOPERATINGLLC11757KATYFREEWAYHOUSTON</v>
      </c>
    </row>
    <row r="166" spans="1:17" x14ac:dyDescent="0.25">
      <c r="A166" s="29"/>
      <c r="B166" s="29"/>
      <c r="C166" s="94" t="s">
        <v>1255</v>
      </c>
      <c r="D166" s="93" t="s">
        <v>1256</v>
      </c>
      <c r="E166" s="29"/>
      <c r="F166" s="93" t="s">
        <v>1257</v>
      </c>
      <c r="G166" s="93" t="s">
        <v>80</v>
      </c>
      <c r="H166" s="93">
        <v>75710</v>
      </c>
      <c r="I166" s="93" t="s">
        <v>62</v>
      </c>
      <c r="J166" s="29"/>
      <c r="K166" s="110">
        <v>3</v>
      </c>
      <c r="L166" s="110">
        <v>1</v>
      </c>
      <c r="M166" s="110">
        <v>154126</v>
      </c>
      <c r="N166" s="110">
        <v>34143</v>
      </c>
      <c r="O166" s="29" t="s">
        <v>4386</v>
      </c>
      <c r="P166" s="126">
        <v>164</v>
      </c>
      <c r="Q166" t="str">
        <f t="shared" si="2"/>
        <v>FAIROILLTDPOBOX689TYLER</v>
      </c>
    </row>
    <row r="167" spans="1:17" x14ac:dyDescent="0.25">
      <c r="A167" s="29"/>
      <c r="B167" s="29"/>
      <c r="C167" s="94" t="s">
        <v>1263</v>
      </c>
      <c r="D167" s="93" t="s">
        <v>1264</v>
      </c>
      <c r="E167" s="29"/>
      <c r="F167" s="93" t="s">
        <v>1265</v>
      </c>
      <c r="G167" s="93" t="s">
        <v>84</v>
      </c>
      <c r="H167" s="93">
        <v>88260</v>
      </c>
      <c r="I167" s="93" t="s">
        <v>62</v>
      </c>
      <c r="J167" s="29"/>
      <c r="K167" s="110">
        <v>0</v>
      </c>
      <c r="L167" s="110">
        <v>3</v>
      </c>
      <c r="M167" s="110">
        <v>0</v>
      </c>
      <c r="N167" s="110">
        <v>3818</v>
      </c>
      <c r="O167" s="29" t="s">
        <v>4386</v>
      </c>
      <c r="P167" s="126">
        <v>165</v>
      </c>
      <c r="Q167" t="str">
        <f t="shared" si="2"/>
        <v>FAITHTRADINGLLCPOBOX2140LOVINGTON</v>
      </c>
    </row>
    <row r="168" spans="1:17" x14ac:dyDescent="0.25">
      <c r="A168" s="29"/>
      <c r="B168" s="29"/>
      <c r="C168" s="94" t="s">
        <v>1266</v>
      </c>
      <c r="D168" s="93" t="s">
        <v>1267</v>
      </c>
      <c r="E168" s="29"/>
      <c r="F168" s="93" t="s">
        <v>153</v>
      </c>
      <c r="G168" s="93" t="s">
        <v>80</v>
      </c>
      <c r="H168" s="93">
        <v>79707</v>
      </c>
      <c r="I168" s="93" t="s">
        <v>62</v>
      </c>
      <c r="J168" s="29"/>
      <c r="K168" s="110">
        <v>48</v>
      </c>
      <c r="L168" s="110">
        <v>62</v>
      </c>
      <c r="M168" s="110">
        <v>2497805</v>
      </c>
      <c r="N168" s="110">
        <v>587240</v>
      </c>
      <c r="O168" s="29" t="s">
        <v>4386</v>
      </c>
      <c r="P168" s="126">
        <v>166</v>
      </c>
      <c r="Q168" t="str">
        <f t="shared" si="2"/>
        <v>FASKENOIL&amp;RANCHLTD6101HOLIDAYHILLROADMIDLAND</v>
      </c>
    </row>
    <row r="169" spans="1:17" x14ac:dyDescent="0.25">
      <c r="A169" s="29"/>
      <c r="B169" s="29"/>
      <c r="C169" s="94" t="s">
        <v>1277</v>
      </c>
      <c r="D169" s="93" t="s">
        <v>1278</v>
      </c>
      <c r="E169" s="29"/>
      <c r="F169" s="93" t="s">
        <v>378</v>
      </c>
      <c r="G169" s="93" t="s">
        <v>80</v>
      </c>
      <c r="H169" s="93">
        <v>75225</v>
      </c>
      <c r="I169" s="93" t="s">
        <v>62</v>
      </c>
      <c r="J169" s="29"/>
      <c r="K169" s="110">
        <v>0</v>
      </c>
      <c r="L169" s="110">
        <v>1</v>
      </c>
      <c r="M169" s="110">
        <v>0</v>
      </c>
      <c r="N169" s="110">
        <v>334</v>
      </c>
      <c r="O169" s="29" t="s">
        <v>4386</v>
      </c>
      <c r="P169" s="126">
        <v>167</v>
      </c>
      <c r="Q169" t="str">
        <f t="shared" si="2"/>
        <v>FBSOPERATINGCOMPANYLLC8235DOUGLASAVENUEDALLAS</v>
      </c>
    </row>
    <row r="170" spans="1:17" x14ac:dyDescent="0.25">
      <c r="A170" s="29"/>
      <c r="B170" s="29"/>
      <c r="C170" s="94" t="s">
        <v>1284</v>
      </c>
      <c r="D170" s="93" t="s">
        <v>1285</v>
      </c>
      <c r="E170" s="29"/>
      <c r="F170" s="93" t="s">
        <v>1286</v>
      </c>
      <c r="G170" s="93" t="s">
        <v>80</v>
      </c>
      <c r="H170" s="93">
        <v>75039</v>
      </c>
      <c r="I170" s="93" t="s">
        <v>62</v>
      </c>
      <c r="J170" s="29"/>
      <c r="K170" s="110">
        <v>0</v>
      </c>
      <c r="L170" s="110">
        <v>9</v>
      </c>
      <c r="M170" s="110">
        <v>14955</v>
      </c>
      <c r="N170" s="110">
        <v>11506</v>
      </c>
      <c r="O170" s="29" t="s">
        <v>4386</v>
      </c>
      <c r="P170" s="126">
        <v>168</v>
      </c>
      <c r="Q170" t="str">
        <f t="shared" si="2"/>
        <v>FDLOPERATINGLLC5221NO'CONNORBLVDIRVING</v>
      </c>
    </row>
    <row r="171" spans="1:17" x14ac:dyDescent="0.25">
      <c r="A171" s="29"/>
      <c r="B171" s="29" t="s">
        <v>4472</v>
      </c>
      <c r="C171" s="92" t="s">
        <v>1293</v>
      </c>
      <c r="D171" s="100" t="s">
        <v>1294</v>
      </c>
      <c r="E171" s="29"/>
      <c r="F171" s="93" t="s">
        <v>303</v>
      </c>
      <c r="G171" s="93" t="s">
        <v>80</v>
      </c>
      <c r="H171" s="93">
        <v>79710</v>
      </c>
      <c r="I171" s="93" t="s">
        <v>62</v>
      </c>
      <c r="J171" s="29"/>
      <c r="K171" s="110">
        <v>0</v>
      </c>
      <c r="L171" s="110">
        <v>0</v>
      </c>
      <c r="M171" s="110">
        <v>0</v>
      </c>
      <c r="N171" s="110">
        <v>0</v>
      </c>
      <c r="O171" s="29" t="s">
        <v>4385</v>
      </c>
      <c r="P171" s="126">
        <v>169</v>
      </c>
      <c r="Q171" t="str">
        <f t="shared" si="2"/>
        <v>FEAGANGATHERINGPOBOX50307MIDLAND</v>
      </c>
    </row>
    <row r="172" spans="1:17" x14ac:dyDescent="0.25">
      <c r="A172" s="29"/>
      <c r="B172" s="29"/>
      <c r="C172" s="94" t="s">
        <v>1304</v>
      </c>
      <c r="D172" s="93" t="s">
        <v>1305</v>
      </c>
      <c r="E172" s="29"/>
      <c r="F172" s="93" t="s">
        <v>88</v>
      </c>
      <c r="G172" s="93" t="s">
        <v>80</v>
      </c>
      <c r="H172" s="93">
        <v>76102</v>
      </c>
      <c r="I172" s="93" t="s">
        <v>62</v>
      </c>
      <c r="J172" s="29"/>
      <c r="K172" s="110">
        <v>2</v>
      </c>
      <c r="L172" s="110">
        <v>0</v>
      </c>
      <c r="M172" s="110">
        <v>2081</v>
      </c>
      <c r="N172" s="110">
        <v>6220</v>
      </c>
      <c r="O172" s="29" t="s">
        <v>4386</v>
      </c>
      <c r="P172" s="126">
        <v>170</v>
      </c>
      <c r="Q172" t="str">
        <f t="shared" si="2"/>
        <v>FINLEYRESOURCESINC1308LAKESTREETFORTWORTH</v>
      </c>
    </row>
    <row r="173" spans="1:17" x14ac:dyDescent="0.25">
      <c r="A173" s="29"/>
      <c r="B173" s="29"/>
      <c r="C173" s="94" t="s">
        <v>1312</v>
      </c>
      <c r="D173" s="93" t="s">
        <v>1313</v>
      </c>
      <c r="E173" s="29"/>
      <c r="F173" s="93" t="s">
        <v>83</v>
      </c>
      <c r="G173" s="93" t="s">
        <v>84</v>
      </c>
      <c r="H173" s="93">
        <v>88211</v>
      </c>
      <c r="I173" s="93" t="s">
        <v>62</v>
      </c>
      <c r="J173" s="29"/>
      <c r="K173" s="110">
        <v>0</v>
      </c>
      <c r="L173" s="110">
        <v>75</v>
      </c>
      <c r="M173" s="110">
        <v>24817</v>
      </c>
      <c r="N173" s="110">
        <v>18631</v>
      </c>
      <c r="O173" s="29" t="s">
        <v>4386</v>
      </c>
      <c r="P173" s="126">
        <v>171</v>
      </c>
      <c r="Q173" t="str">
        <f t="shared" si="2"/>
        <v>FINNEYOILCOMPANYPOBOX1569ARTESIA</v>
      </c>
    </row>
    <row r="174" spans="1:17" x14ac:dyDescent="0.25">
      <c r="A174" s="29"/>
      <c r="B174" s="29"/>
      <c r="C174" s="94" t="s">
        <v>1314</v>
      </c>
      <c r="D174" s="93" t="s">
        <v>1315</v>
      </c>
      <c r="E174" s="29"/>
      <c r="F174" s="93" t="s">
        <v>112</v>
      </c>
      <c r="G174" s="93" t="s">
        <v>80</v>
      </c>
      <c r="H174" s="93">
        <v>77073</v>
      </c>
      <c r="I174" s="93" t="s">
        <v>62</v>
      </c>
      <c r="J174" s="29"/>
      <c r="K174" s="110">
        <v>4</v>
      </c>
      <c r="L174" s="110">
        <v>35</v>
      </c>
      <c r="M174" s="110">
        <v>66151</v>
      </c>
      <c r="N174" s="110">
        <v>16397</v>
      </c>
      <c r="O174" s="29" t="s">
        <v>4386</v>
      </c>
      <c r="P174" s="126">
        <v>172</v>
      </c>
      <c r="Q174" t="str">
        <f t="shared" si="2"/>
        <v>FLINTOAKENERGYLLC1703WESTFIELDLOOPRDHOUSTON</v>
      </c>
    </row>
    <row r="175" spans="1:17" x14ac:dyDescent="0.25">
      <c r="A175" s="29"/>
      <c r="B175" s="29" t="s">
        <v>4472</v>
      </c>
      <c r="C175" s="92" t="s">
        <v>1321</v>
      </c>
      <c r="D175" s="100" t="s">
        <v>1322</v>
      </c>
      <c r="E175" s="29"/>
      <c r="F175" s="93" t="s">
        <v>123</v>
      </c>
      <c r="G175" s="93" t="s">
        <v>84</v>
      </c>
      <c r="H175" s="93">
        <v>84499</v>
      </c>
      <c r="I175" s="93" t="s">
        <v>62</v>
      </c>
      <c r="J175" s="29"/>
      <c r="K175" s="110">
        <v>0</v>
      </c>
      <c r="L175" s="110">
        <v>0</v>
      </c>
      <c r="M175" s="110">
        <v>0</v>
      </c>
      <c r="N175" s="110">
        <v>0</v>
      </c>
      <c r="O175" s="29" t="s">
        <v>4385</v>
      </c>
      <c r="P175" s="126">
        <v>173</v>
      </c>
      <c r="Q175" t="str">
        <f t="shared" si="2"/>
        <v>FLUIDCOMPRESSORPARTNERSPOBOX2770FARMINGTON</v>
      </c>
    </row>
    <row r="176" spans="1:17" x14ac:dyDescent="0.25">
      <c r="A176" s="29"/>
      <c r="B176" s="29"/>
      <c r="C176" s="94" t="s">
        <v>1323</v>
      </c>
      <c r="D176" s="93" t="s">
        <v>1324</v>
      </c>
      <c r="E176" s="29"/>
      <c r="F176" s="93" t="s">
        <v>112</v>
      </c>
      <c r="G176" s="93" t="s">
        <v>80</v>
      </c>
      <c r="H176" s="93">
        <v>77056</v>
      </c>
      <c r="I176" s="93" t="s">
        <v>62</v>
      </c>
      <c r="J176" s="29"/>
      <c r="K176" s="110">
        <v>32</v>
      </c>
      <c r="L176" s="110">
        <v>62</v>
      </c>
      <c r="M176" s="110">
        <v>201731</v>
      </c>
      <c r="N176" s="110">
        <v>193132</v>
      </c>
      <c r="O176" s="29" t="s">
        <v>4386</v>
      </c>
      <c r="P176" s="126">
        <v>174</v>
      </c>
      <c r="Q176" t="str">
        <f t="shared" si="2"/>
        <v>FORTYACRESENERGYLLC11757KATYFRWYHOUSTON</v>
      </c>
    </row>
    <row r="177" spans="1:17" x14ac:dyDescent="0.25">
      <c r="A177" s="29"/>
      <c r="B177" s="29"/>
      <c r="C177" s="94" t="s">
        <v>1330</v>
      </c>
      <c r="D177" s="93" t="s">
        <v>1331</v>
      </c>
      <c r="E177" s="29"/>
      <c r="F177" s="93" t="s">
        <v>1332</v>
      </c>
      <c r="G177" s="93" t="s">
        <v>80</v>
      </c>
      <c r="H177" s="93">
        <v>75001</v>
      </c>
      <c r="I177" s="93" t="s">
        <v>62</v>
      </c>
      <c r="J177" s="29"/>
      <c r="K177" s="110">
        <v>4</v>
      </c>
      <c r="L177" s="110">
        <v>26</v>
      </c>
      <c r="M177" s="110">
        <v>247602</v>
      </c>
      <c r="N177" s="110">
        <v>56043</v>
      </c>
      <c r="O177" s="29" t="s">
        <v>4386</v>
      </c>
      <c r="P177" s="126">
        <v>175</v>
      </c>
      <c r="Q177" t="str">
        <f t="shared" si="2"/>
        <v>FOUNDATIONENERGYMANAGEMENTLLC5057KELLERSPRINGSRDADDISON</v>
      </c>
    </row>
    <row r="178" spans="1:17" x14ac:dyDescent="0.25">
      <c r="A178" s="29"/>
      <c r="B178" s="29"/>
      <c r="C178" s="94" t="s">
        <v>1339</v>
      </c>
      <c r="D178" s="93" t="s">
        <v>1340</v>
      </c>
      <c r="E178" s="29"/>
      <c r="F178" s="93" t="s">
        <v>123</v>
      </c>
      <c r="G178" s="93" t="s">
        <v>84</v>
      </c>
      <c r="H178" s="93">
        <v>87499</v>
      </c>
      <c r="I178" s="93" t="s">
        <v>62</v>
      </c>
      <c r="J178" s="29"/>
      <c r="K178" s="110">
        <v>0</v>
      </c>
      <c r="L178" s="110">
        <v>1</v>
      </c>
      <c r="M178" s="110">
        <v>2694</v>
      </c>
      <c r="N178" s="110">
        <v>897</v>
      </c>
      <c r="O178" s="29" t="s">
        <v>4386</v>
      </c>
      <c r="P178" s="126">
        <v>176</v>
      </c>
      <c r="Q178" t="str">
        <f t="shared" si="2"/>
        <v>FOURCORNERSEXPLORATIONCOPOBOX1469FARMINGTON</v>
      </c>
    </row>
    <row r="179" spans="1:17" x14ac:dyDescent="0.25">
      <c r="A179" s="29"/>
      <c r="B179" s="29"/>
      <c r="C179" s="94" t="s">
        <v>1341</v>
      </c>
      <c r="D179" s="93" t="s">
        <v>1342</v>
      </c>
      <c r="E179" s="29"/>
      <c r="F179" s="93" t="s">
        <v>378</v>
      </c>
      <c r="G179" s="93" t="s">
        <v>80</v>
      </c>
      <c r="H179" s="93">
        <v>75243</v>
      </c>
      <c r="I179" s="93" t="s">
        <v>62</v>
      </c>
      <c r="J179" s="29"/>
      <c r="K179" s="110">
        <v>1</v>
      </c>
      <c r="L179" s="110">
        <v>0</v>
      </c>
      <c r="M179" s="110">
        <v>42948</v>
      </c>
      <c r="N179" s="110">
        <v>0</v>
      </c>
      <c r="O179" s="29" t="s">
        <v>4386</v>
      </c>
      <c r="P179" s="126">
        <v>177</v>
      </c>
      <c r="Q179" t="str">
        <f t="shared" si="2"/>
        <v>FOURSTARRPRODUCTIONLLC11886GREENVILLEAVEDALLAS</v>
      </c>
    </row>
    <row r="180" spans="1:17" x14ac:dyDescent="0.25">
      <c r="A180" s="29"/>
      <c r="B180" s="29"/>
      <c r="C180" s="94" t="s">
        <v>1349</v>
      </c>
      <c r="D180" s="93" t="s">
        <v>1350</v>
      </c>
      <c r="E180" s="29"/>
      <c r="F180" s="93" t="s">
        <v>60</v>
      </c>
      <c r="G180" s="93" t="s">
        <v>61</v>
      </c>
      <c r="H180" s="93">
        <v>80206</v>
      </c>
      <c r="I180" s="93" t="s">
        <v>62</v>
      </c>
      <c r="J180" s="29"/>
      <c r="K180" s="110">
        <v>5</v>
      </c>
      <c r="L180" s="110">
        <v>0</v>
      </c>
      <c r="M180" s="110">
        <v>298574</v>
      </c>
      <c r="N180" s="110">
        <v>281064</v>
      </c>
      <c r="O180" s="29" t="s">
        <v>4386</v>
      </c>
      <c r="P180" s="126">
        <v>178</v>
      </c>
      <c r="Q180" t="str">
        <f t="shared" si="2"/>
        <v>FRANKLINMOUNTAINENERGYLLC44COOKSTREETDENVER</v>
      </c>
    </row>
    <row r="181" spans="1:17" x14ac:dyDescent="0.25">
      <c r="A181" s="29"/>
      <c r="B181" s="29"/>
      <c r="C181" s="94" t="s">
        <v>1357</v>
      </c>
      <c r="D181" s="93" t="s">
        <v>1358</v>
      </c>
      <c r="E181" s="29"/>
      <c r="F181" s="93" t="s">
        <v>1359</v>
      </c>
      <c r="G181" s="93" t="s">
        <v>84</v>
      </c>
      <c r="H181" s="93">
        <v>88253</v>
      </c>
      <c r="I181" s="93" t="s">
        <v>62</v>
      </c>
      <c r="J181" s="29"/>
      <c r="K181" s="110">
        <v>1</v>
      </c>
      <c r="L181" s="110">
        <v>20</v>
      </c>
      <c r="M181" s="110">
        <v>0</v>
      </c>
      <c r="N181" s="110">
        <v>2468</v>
      </c>
      <c r="O181" s="29" t="s">
        <v>4386</v>
      </c>
      <c r="P181" s="126">
        <v>179</v>
      </c>
      <c r="Q181" t="str">
        <f t="shared" si="2"/>
        <v>FREEDOMENERGYLLCR649N13THSTREETLAKEARTHUR</v>
      </c>
    </row>
    <row r="182" spans="1:17" x14ac:dyDescent="0.25">
      <c r="A182" s="29"/>
      <c r="B182" s="29" t="s">
        <v>4472</v>
      </c>
      <c r="C182" s="92" t="s">
        <v>1360</v>
      </c>
      <c r="D182" s="100" t="s">
        <v>1361</v>
      </c>
      <c r="E182" s="29"/>
      <c r="F182" s="93" t="s">
        <v>161</v>
      </c>
      <c r="G182" s="93" t="s">
        <v>80</v>
      </c>
      <c r="H182" s="93">
        <v>77380</v>
      </c>
      <c r="I182" s="93" t="s">
        <v>62</v>
      </c>
      <c r="J182" s="29"/>
      <c r="K182" s="110">
        <v>0</v>
      </c>
      <c r="L182" s="110">
        <v>0</v>
      </c>
      <c r="M182" s="110">
        <v>0</v>
      </c>
      <c r="N182" s="110">
        <v>0</v>
      </c>
      <c r="O182" s="29" t="s">
        <v>4385</v>
      </c>
      <c r="P182" s="126">
        <v>180</v>
      </c>
      <c r="Q182" t="str">
        <f t="shared" si="2"/>
        <v>FRONTIERFIELDSERVICESLLC10077GROGANSMILLRDTHEWOODLANDS</v>
      </c>
    </row>
    <row r="183" spans="1:17" x14ac:dyDescent="0.25">
      <c r="A183" s="29"/>
      <c r="B183" s="29"/>
      <c r="C183" s="94" t="s">
        <v>1362</v>
      </c>
      <c r="D183" s="93" t="s">
        <v>1363</v>
      </c>
      <c r="E183" s="29"/>
      <c r="F183" s="93" t="s">
        <v>1364</v>
      </c>
      <c r="G183" s="93" t="s">
        <v>84</v>
      </c>
      <c r="H183" s="93">
        <v>88252</v>
      </c>
      <c r="I183" s="93" t="s">
        <v>62</v>
      </c>
      <c r="J183" s="29"/>
      <c r="K183" s="110">
        <v>31</v>
      </c>
      <c r="L183" s="110">
        <v>89</v>
      </c>
      <c r="M183" s="110">
        <v>160787</v>
      </c>
      <c r="N183" s="110">
        <v>41016</v>
      </c>
      <c r="O183" s="29" t="s">
        <v>4386</v>
      </c>
      <c r="P183" s="126">
        <v>181</v>
      </c>
      <c r="Q183" t="str">
        <f t="shared" si="2"/>
        <v>FULFEROIL&amp;CATTLELLCPOBOX1224JAL</v>
      </c>
    </row>
    <row r="184" spans="1:17" x14ac:dyDescent="0.25">
      <c r="A184" s="29"/>
      <c r="B184" s="29"/>
      <c r="C184" s="94" t="s">
        <v>1373</v>
      </c>
      <c r="D184" s="93" t="s">
        <v>477</v>
      </c>
      <c r="E184" s="29"/>
      <c r="F184" s="93" t="s">
        <v>83</v>
      </c>
      <c r="G184" s="93" t="s">
        <v>84</v>
      </c>
      <c r="H184" s="93">
        <v>88211</v>
      </c>
      <c r="I184" s="93" t="s">
        <v>62</v>
      </c>
      <c r="J184" s="29"/>
      <c r="K184" s="110">
        <v>0</v>
      </c>
      <c r="L184" s="110">
        <v>1</v>
      </c>
      <c r="M184" s="110">
        <v>0</v>
      </c>
      <c r="N184" s="110">
        <v>17</v>
      </c>
      <c r="O184" s="29" t="s">
        <v>4386</v>
      </c>
      <c r="P184" s="126">
        <v>182</v>
      </c>
      <c r="Q184" t="str">
        <f t="shared" si="2"/>
        <v>FULTONENTERPRISESPOBOX1176ARTESIA</v>
      </c>
    </row>
    <row r="185" spans="1:17" x14ac:dyDescent="0.25">
      <c r="A185" s="29"/>
      <c r="B185" s="29" t="s">
        <v>4472</v>
      </c>
      <c r="C185" s="92" t="s">
        <v>1379</v>
      </c>
      <c r="D185" s="100" t="s">
        <v>1380</v>
      </c>
      <c r="E185" s="29"/>
      <c r="F185" s="93" t="s">
        <v>1035</v>
      </c>
      <c r="G185" s="93" t="s">
        <v>84</v>
      </c>
      <c r="H185" s="93">
        <v>87413</v>
      </c>
      <c r="I185" s="93" t="s">
        <v>62</v>
      </c>
      <c r="J185" s="29"/>
      <c r="K185" s="110">
        <v>0</v>
      </c>
      <c r="L185" s="110">
        <v>0</v>
      </c>
      <c r="M185" s="110">
        <v>0</v>
      </c>
      <c r="N185" s="110">
        <v>0</v>
      </c>
      <c r="O185" s="29" t="s">
        <v>4385</v>
      </c>
      <c r="P185" s="126">
        <v>183</v>
      </c>
      <c r="Q185" t="str">
        <f t="shared" si="2"/>
        <v>GASCOOFNMPOBOX1899BLOOMFIELD</v>
      </c>
    </row>
    <row r="186" spans="1:17" x14ac:dyDescent="0.25">
      <c r="A186" s="29"/>
      <c r="B186" s="29" t="s">
        <v>4472</v>
      </c>
      <c r="C186" s="92" t="s">
        <v>1386</v>
      </c>
      <c r="D186" s="100" t="s">
        <v>1387</v>
      </c>
      <c r="E186" s="29"/>
      <c r="F186" s="93" t="s">
        <v>112</v>
      </c>
      <c r="G186" s="93" t="s">
        <v>80</v>
      </c>
      <c r="H186" s="93">
        <v>77002</v>
      </c>
      <c r="I186" s="93" t="s">
        <v>62</v>
      </c>
      <c r="J186" s="29"/>
      <c r="K186" s="110">
        <v>0</v>
      </c>
      <c r="L186" s="110">
        <v>0</v>
      </c>
      <c r="M186" s="110">
        <v>0</v>
      </c>
      <c r="N186" s="110">
        <v>0</v>
      </c>
      <c r="O186" s="29" t="s">
        <v>4385</v>
      </c>
      <c r="P186" s="126">
        <v>184</v>
      </c>
      <c r="Q186" t="str">
        <f t="shared" si="2"/>
        <v>GENESISCRUDEOILLP500DALLASAVEHOUSTON</v>
      </c>
    </row>
    <row r="187" spans="1:17" x14ac:dyDescent="0.25">
      <c r="A187" s="29"/>
      <c r="B187" s="29"/>
      <c r="C187" s="94" t="s">
        <v>1396</v>
      </c>
      <c r="D187" s="93" t="s">
        <v>1397</v>
      </c>
      <c r="E187" s="29"/>
      <c r="F187" s="93" t="s">
        <v>83</v>
      </c>
      <c r="G187" s="93" t="s">
        <v>84</v>
      </c>
      <c r="H187" s="93">
        <v>88211</v>
      </c>
      <c r="I187" s="93" t="s">
        <v>62</v>
      </c>
      <c r="J187" s="29"/>
      <c r="K187" s="110">
        <v>4</v>
      </c>
      <c r="L187" s="110">
        <v>309</v>
      </c>
      <c r="M187" s="110">
        <v>32965</v>
      </c>
      <c r="N187" s="110">
        <v>166034</v>
      </c>
      <c r="O187" s="29" t="s">
        <v>4386</v>
      </c>
      <c r="P187" s="126">
        <v>185</v>
      </c>
      <c r="Q187" t="str">
        <f t="shared" si="2"/>
        <v>GEORGEACHASEJRDBAGANDCSERVICEPOBOX1618ARTESIA</v>
      </c>
    </row>
    <row r="188" spans="1:17" x14ac:dyDescent="0.25">
      <c r="A188" s="29"/>
      <c r="B188" s="29"/>
      <c r="C188" s="94" t="s">
        <v>1398</v>
      </c>
      <c r="D188" s="93" t="s">
        <v>477</v>
      </c>
      <c r="E188" s="29"/>
      <c r="F188" s="93" t="s">
        <v>83</v>
      </c>
      <c r="G188" s="93" t="s">
        <v>84</v>
      </c>
      <c r="H188" s="93">
        <v>88211</v>
      </c>
      <c r="I188" s="93" t="s">
        <v>62</v>
      </c>
      <c r="J188" s="29"/>
      <c r="K188" s="110">
        <v>0</v>
      </c>
      <c r="L188" s="110">
        <v>1</v>
      </c>
      <c r="M188" s="110">
        <v>0</v>
      </c>
      <c r="N188" s="110">
        <v>14</v>
      </c>
      <c r="O188" s="29" t="s">
        <v>4386</v>
      </c>
      <c r="P188" s="126">
        <v>186</v>
      </c>
      <c r="Q188" t="str">
        <f t="shared" si="2"/>
        <v>GERALDFROACHPOBOX1176ARTESIA</v>
      </c>
    </row>
    <row r="189" spans="1:17" x14ac:dyDescent="0.25">
      <c r="A189" s="29"/>
      <c r="B189" s="29" t="s">
        <v>4472</v>
      </c>
      <c r="C189" s="92" t="s">
        <v>1399</v>
      </c>
      <c r="D189" s="100" t="s">
        <v>1400</v>
      </c>
      <c r="E189" s="29"/>
      <c r="F189" s="93" t="s">
        <v>183</v>
      </c>
      <c r="G189" s="93" t="s">
        <v>184</v>
      </c>
      <c r="H189" s="93">
        <v>74135</v>
      </c>
      <c r="I189" s="93" t="s">
        <v>62</v>
      </c>
      <c r="J189" s="29"/>
      <c r="K189" s="110">
        <v>0</v>
      </c>
      <c r="L189" s="110">
        <v>0</v>
      </c>
      <c r="M189" s="110">
        <v>0</v>
      </c>
      <c r="N189" s="110">
        <v>0</v>
      </c>
      <c r="O189" s="29" t="s">
        <v>4385</v>
      </c>
      <c r="P189" s="126">
        <v>187</v>
      </c>
      <c r="Q189" t="str">
        <f t="shared" si="2"/>
        <v>GLOBALCOMPRESSORSERVICES5800SKELLYDRTULSA</v>
      </c>
    </row>
    <row r="190" spans="1:17" x14ac:dyDescent="0.25">
      <c r="A190" s="29"/>
      <c r="B190" s="29"/>
      <c r="C190" s="94" t="s">
        <v>1401</v>
      </c>
      <c r="D190" s="93" t="s">
        <v>1402</v>
      </c>
      <c r="E190" s="29"/>
      <c r="F190" s="93" t="s">
        <v>112</v>
      </c>
      <c r="G190" s="93" t="s">
        <v>80</v>
      </c>
      <c r="H190" s="93">
        <v>77057</v>
      </c>
      <c r="I190" s="93" t="s">
        <v>62</v>
      </c>
      <c r="J190" s="29"/>
      <c r="K190" s="110">
        <v>21</v>
      </c>
      <c r="L190" s="110">
        <v>15</v>
      </c>
      <c r="M190" s="110">
        <v>45189</v>
      </c>
      <c r="N190" s="110">
        <v>8097</v>
      </c>
      <c r="O190" s="29" t="s">
        <v>4386</v>
      </c>
      <c r="P190" s="126">
        <v>188</v>
      </c>
      <c r="Q190" t="str">
        <f t="shared" si="2"/>
        <v>GOLDENOILHOLDINGCORPORATION2000BERINGDRIVEHOUSTON</v>
      </c>
    </row>
    <row r="191" spans="1:17" x14ac:dyDescent="0.25">
      <c r="A191" s="29"/>
      <c r="B191" s="29"/>
      <c r="C191" s="94" t="s">
        <v>1412</v>
      </c>
      <c r="D191" s="93" t="s">
        <v>1413</v>
      </c>
      <c r="E191" s="29"/>
      <c r="F191" s="93" t="s">
        <v>153</v>
      </c>
      <c r="G191" s="93" t="s">
        <v>80</v>
      </c>
      <c r="H191" s="93">
        <v>79710</v>
      </c>
      <c r="I191" s="93" t="s">
        <v>62</v>
      </c>
      <c r="J191" s="29"/>
      <c r="K191" s="110">
        <v>0</v>
      </c>
      <c r="L191" s="110">
        <v>18</v>
      </c>
      <c r="M191" s="110">
        <v>21310</v>
      </c>
      <c r="N191" s="110">
        <v>4510</v>
      </c>
      <c r="O191" s="29" t="s">
        <v>4386</v>
      </c>
      <c r="P191" s="126">
        <v>189</v>
      </c>
      <c r="Q191" t="str">
        <f t="shared" si="2"/>
        <v>GPIIENERGYINCPODRAWER53507MIDLAND</v>
      </c>
    </row>
    <row r="192" spans="1:17" x14ac:dyDescent="0.25">
      <c r="A192" s="29"/>
      <c r="B192" s="29"/>
      <c r="C192" s="94" t="s">
        <v>1419</v>
      </c>
      <c r="D192" s="93" t="s">
        <v>899</v>
      </c>
      <c r="E192" s="29"/>
      <c r="F192" s="93" t="s">
        <v>153</v>
      </c>
      <c r="G192" s="93" t="s">
        <v>80</v>
      </c>
      <c r="H192" s="93">
        <v>79705</v>
      </c>
      <c r="I192" s="93" t="s">
        <v>62</v>
      </c>
      <c r="J192" s="29"/>
      <c r="K192" s="110">
        <v>2</v>
      </c>
      <c r="L192" s="110">
        <v>6</v>
      </c>
      <c r="M192" s="110">
        <v>0</v>
      </c>
      <c r="N192" s="110">
        <v>14023</v>
      </c>
      <c r="O192" s="29" t="s">
        <v>4386</v>
      </c>
      <c r="P192" s="126">
        <v>190</v>
      </c>
      <c r="Q192" t="str">
        <f t="shared" si="2"/>
        <v>GRANDBANKSENERGYCO10DESTADRIVEMIDLAND</v>
      </c>
    </row>
    <row r="193" spans="1:17" x14ac:dyDescent="0.25">
      <c r="A193" s="29"/>
      <c r="B193" s="29"/>
      <c r="C193" s="94" t="s">
        <v>1425</v>
      </c>
      <c r="D193" s="93" t="s">
        <v>1426</v>
      </c>
      <c r="E193" s="29"/>
      <c r="F193" s="93" t="s">
        <v>153</v>
      </c>
      <c r="G193" s="93" t="s">
        <v>80</v>
      </c>
      <c r="H193" s="93">
        <v>79701</v>
      </c>
      <c r="I193" s="93" t="s">
        <v>62</v>
      </c>
      <c r="J193" s="29"/>
      <c r="K193" s="110">
        <v>12</v>
      </c>
      <c r="L193" s="110">
        <v>61</v>
      </c>
      <c r="M193" s="110">
        <v>1170987</v>
      </c>
      <c r="N193" s="110">
        <v>11238</v>
      </c>
      <c r="O193" s="29" t="s">
        <v>4386</v>
      </c>
      <c r="P193" s="126">
        <v>191</v>
      </c>
      <c r="Q193" t="str">
        <f t="shared" si="2"/>
        <v>GREATWESTERNDRILLINGCOPOBOX1659MIDLAND</v>
      </c>
    </row>
    <row r="194" spans="1:17" x14ac:dyDescent="0.25">
      <c r="A194" s="29"/>
      <c r="B194" s="29"/>
      <c r="C194" s="112" t="s">
        <v>4497</v>
      </c>
      <c r="D194" s="100" t="s">
        <v>1433</v>
      </c>
      <c r="E194" s="29"/>
      <c r="F194" s="93" t="s">
        <v>112</v>
      </c>
      <c r="G194" s="93" t="s">
        <v>80</v>
      </c>
      <c r="H194" s="93">
        <v>77057</v>
      </c>
      <c r="I194" s="93" t="s">
        <v>62</v>
      </c>
      <c r="J194" s="29"/>
      <c r="K194" s="110">
        <v>77</v>
      </c>
      <c r="L194" s="110">
        <v>712</v>
      </c>
      <c r="M194" s="110">
        <v>8655523</v>
      </c>
      <c r="N194" s="110">
        <v>1008312</v>
      </c>
      <c r="O194" s="29" t="s">
        <v>4386</v>
      </c>
      <c r="P194" s="126">
        <v>192</v>
      </c>
      <c r="Q194" t="str">
        <f t="shared" si="2"/>
        <v>GRIZZLYOPERATINGLLC5847SANFELIPEHOUSTON</v>
      </c>
    </row>
    <row r="195" spans="1:17" x14ac:dyDescent="0.25">
      <c r="A195" s="29"/>
      <c r="B195" s="29"/>
      <c r="C195" s="94" t="s">
        <v>1440</v>
      </c>
      <c r="D195" s="93" t="s">
        <v>1441</v>
      </c>
      <c r="E195" s="29"/>
      <c r="F195" s="93" t="s">
        <v>585</v>
      </c>
      <c r="G195" s="93" t="s">
        <v>184</v>
      </c>
      <c r="H195" s="93">
        <v>73114</v>
      </c>
      <c r="I195" s="93" t="s">
        <v>62</v>
      </c>
      <c r="J195" s="29"/>
      <c r="K195" s="110">
        <v>0</v>
      </c>
      <c r="L195" s="110">
        <v>1</v>
      </c>
      <c r="M195" s="110">
        <v>0</v>
      </c>
      <c r="N195" s="110">
        <v>3927</v>
      </c>
      <c r="O195" s="29" t="s">
        <v>4386</v>
      </c>
      <c r="P195" s="126">
        <v>193</v>
      </c>
      <c r="Q195" t="str">
        <f t="shared" si="2"/>
        <v>GULFEXPLORATIONLLC9701NBROADWAYEXTOKLAHOMACITY</v>
      </c>
    </row>
    <row r="196" spans="1:17" x14ac:dyDescent="0.25">
      <c r="A196" s="29"/>
      <c r="B196" s="29"/>
      <c r="C196" s="94" t="s">
        <v>1450</v>
      </c>
      <c r="D196" s="93" t="s">
        <v>1451</v>
      </c>
      <c r="E196" s="29"/>
      <c r="F196" s="93" t="s">
        <v>1452</v>
      </c>
      <c r="G196" s="93" t="s">
        <v>80</v>
      </c>
      <c r="H196" s="93">
        <v>75773</v>
      </c>
      <c r="I196" s="93" t="s">
        <v>62</v>
      </c>
      <c r="J196" s="29"/>
      <c r="K196" s="110">
        <v>0</v>
      </c>
      <c r="L196" s="110">
        <v>1</v>
      </c>
      <c r="M196" s="110">
        <v>0</v>
      </c>
      <c r="N196" s="110">
        <v>2190</v>
      </c>
      <c r="O196" s="29" t="s">
        <v>4386</v>
      </c>
      <c r="P196" s="126">
        <v>194</v>
      </c>
      <c r="Q196" t="str">
        <f t="shared" ref="Q196:Q259" si="3">UPPER(SUBSTITUTE(SUBSTITUTE(SUBSTITUTE(SUBSTITUTE(C196&amp;D196&amp;F196," ",""),".",""),",",""),"-",""))</f>
        <v>GVCVENTURESPOBOX59MINEOLA</v>
      </c>
    </row>
    <row r="197" spans="1:17" x14ac:dyDescent="0.25">
      <c r="A197" s="29"/>
      <c r="B197" s="29"/>
      <c r="C197" s="94" t="s">
        <v>1453</v>
      </c>
      <c r="D197" s="93" t="s">
        <v>172</v>
      </c>
      <c r="E197" s="29"/>
      <c r="F197" s="93" t="s">
        <v>123</v>
      </c>
      <c r="G197" s="93" t="s">
        <v>84</v>
      </c>
      <c r="H197" s="93">
        <v>87499</v>
      </c>
      <c r="I197" s="93" t="s">
        <v>62</v>
      </c>
      <c r="J197" s="29"/>
      <c r="K197" s="110">
        <v>0</v>
      </c>
      <c r="L197" s="110">
        <v>5</v>
      </c>
      <c r="M197" s="110">
        <v>17514</v>
      </c>
      <c r="N197" s="110">
        <v>0</v>
      </c>
      <c r="O197" s="29" t="s">
        <v>4386</v>
      </c>
      <c r="P197" s="126">
        <v>195</v>
      </c>
      <c r="Q197" t="str">
        <f t="shared" si="3"/>
        <v>HKKEESEEANDCJKEESEETRUSTPOBOX420FARMINGTON</v>
      </c>
    </row>
    <row r="198" spans="1:17" x14ac:dyDescent="0.25">
      <c r="A198" s="29"/>
      <c r="B198" s="29"/>
      <c r="C198" s="94" t="s">
        <v>1454</v>
      </c>
      <c r="D198" s="93" t="s">
        <v>1455</v>
      </c>
      <c r="E198" s="29"/>
      <c r="F198" s="93" t="s">
        <v>153</v>
      </c>
      <c r="G198" s="93" t="s">
        <v>80</v>
      </c>
      <c r="H198" s="93">
        <v>79702</v>
      </c>
      <c r="I198" s="93" t="s">
        <v>62</v>
      </c>
      <c r="J198" s="29"/>
      <c r="K198" s="110">
        <v>12</v>
      </c>
      <c r="L198" s="110">
        <v>6</v>
      </c>
      <c r="M198" s="110">
        <v>705952</v>
      </c>
      <c r="N198" s="110">
        <v>145217</v>
      </c>
      <c r="O198" s="29" t="s">
        <v>4386</v>
      </c>
      <c r="P198" s="126">
        <v>196</v>
      </c>
      <c r="Q198" t="str">
        <f t="shared" si="3"/>
        <v>HLBROWNOPERATINGLLCPOBOX2237MIDLAND</v>
      </c>
    </row>
    <row r="199" spans="1:17" x14ac:dyDescent="0.25">
      <c r="A199" s="29"/>
      <c r="B199" s="29"/>
      <c r="C199" s="94" t="s">
        <v>1462</v>
      </c>
      <c r="D199" s="93" t="s">
        <v>1463</v>
      </c>
      <c r="E199" s="29"/>
      <c r="F199" s="93" t="s">
        <v>209</v>
      </c>
      <c r="G199" s="93" t="s">
        <v>84</v>
      </c>
      <c r="H199" s="93">
        <v>88202</v>
      </c>
      <c r="I199" s="93" t="s">
        <v>62</v>
      </c>
      <c r="J199" s="29"/>
      <c r="K199" s="110">
        <v>1</v>
      </c>
      <c r="L199" s="110">
        <v>31</v>
      </c>
      <c r="M199" s="110">
        <v>154438</v>
      </c>
      <c r="N199" s="110">
        <v>22766</v>
      </c>
      <c r="O199" s="29" t="s">
        <v>4386</v>
      </c>
      <c r="P199" s="126">
        <v>197</v>
      </c>
      <c r="Q199" t="str">
        <f t="shared" si="3"/>
        <v>HANSONOPERATINGCOINCPOBOX1515ROSWELL</v>
      </c>
    </row>
    <row r="200" spans="1:17" x14ac:dyDescent="0.25">
      <c r="A200" s="29"/>
      <c r="B200" s="29"/>
      <c r="C200" s="94" t="s">
        <v>1469</v>
      </c>
      <c r="D200" s="93" t="s">
        <v>1470</v>
      </c>
      <c r="E200" s="29"/>
      <c r="F200" s="93" t="s">
        <v>83</v>
      </c>
      <c r="G200" s="93" t="s">
        <v>84</v>
      </c>
      <c r="H200" s="93">
        <v>88210</v>
      </c>
      <c r="I200" s="93" t="s">
        <v>62</v>
      </c>
      <c r="J200" s="29"/>
      <c r="K200" s="110">
        <v>0</v>
      </c>
      <c r="L200" s="110">
        <v>21</v>
      </c>
      <c r="M200" s="110">
        <v>11533</v>
      </c>
      <c r="N200" s="110">
        <v>6096</v>
      </c>
      <c r="O200" s="29" t="s">
        <v>4386</v>
      </c>
      <c r="P200" s="126">
        <v>198</v>
      </c>
      <c r="Q200" t="str">
        <f t="shared" si="3"/>
        <v>HARLOWENTERPRISESLLC26CHALKBLUFFRDARTESIA</v>
      </c>
    </row>
    <row r="201" spans="1:17" x14ac:dyDescent="0.25">
      <c r="A201" s="29"/>
      <c r="B201" s="29"/>
      <c r="C201" s="94" t="s">
        <v>1475</v>
      </c>
      <c r="D201" s="93" t="s">
        <v>1476</v>
      </c>
      <c r="E201" s="93" t="s">
        <v>1477</v>
      </c>
      <c r="F201" s="93" t="s">
        <v>209</v>
      </c>
      <c r="G201" s="93" t="s">
        <v>84</v>
      </c>
      <c r="H201" s="93">
        <v>88202</v>
      </c>
      <c r="I201" s="93" t="s">
        <v>62</v>
      </c>
      <c r="J201" s="29"/>
      <c r="K201" s="110">
        <v>8</v>
      </c>
      <c r="L201" s="110">
        <v>34</v>
      </c>
      <c r="M201" s="110">
        <v>148279</v>
      </c>
      <c r="N201" s="110">
        <v>47949</v>
      </c>
      <c r="O201" s="29" t="s">
        <v>4386</v>
      </c>
      <c r="P201" s="126">
        <v>199</v>
      </c>
      <c r="Q201" t="str">
        <f t="shared" si="3"/>
        <v>HARVARDPETROLEUMCOMPANYLLC200ESECONDROSWELL</v>
      </c>
    </row>
    <row r="202" spans="1:17" x14ac:dyDescent="0.25">
      <c r="A202" s="29"/>
      <c r="B202" s="29" t="s">
        <v>4472</v>
      </c>
      <c r="C202" s="92" t="s">
        <v>1484</v>
      </c>
      <c r="D202" s="100" t="s">
        <v>1485</v>
      </c>
      <c r="E202" s="29"/>
      <c r="F202" s="93" t="s">
        <v>1035</v>
      </c>
      <c r="G202" s="93" t="s">
        <v>84</v>
      </c>
      <c r="H202" s="93">
        <v>87413</v>
      </c>
      <c r="I202" s="93" t="s">
        <v>62</v>
      </c>
      <c r="J202" s="29"/>
      <c r="K202" s="110">
        <v>0</v>
      </c>
      <c r="L202" s="110">
        <v>0</v>
      </c>
      <c r="M202" s="110">
        <v>0</v>
      </c>
      <c r="N202" s="110">
        <v>0</v>
      </c>
      <c r="O202" s="29" t="s">
        <v>4385</v>
      </c>
      <c r="P202" s="126">
        <v>200</v>
      </c>
      <c r="Q202" t="str">
        <f t="shared" si="3"/>
        <v>HARVESTFOURCORNERSLLC1755ARROYODRBLOOMFIELD</v>
      </c>
    </row>
    <row r="203" spans="1:17" x14ac:dyDescent="0.25">
      <c r="A203" s="29"/>
      <c r="B203" s="29" t="s">
        <v>4472</v>
      </c>
      <c r="C203" s="92" t="s">
        <v>1486</v>
      </c>
      <c r="D203" s="100" t="s">
        <v>1487</v>
      </c>
      <c r="E203" s="29"/>
      <c r="F203" s="93" t="s">
        <v>112</v>
      </c>
      <c r="G203" s="93" t="s">
        <v>80</v>
      </c>
      <c r="H203" s="93">
        <v>77002</v>
      </c>
      <c r="I203" s="93" t="s">
        <v>62</v>
      </c>
      <c r="J203" s="29"/>
      <c r="K203" s="110">
        <v>0</v>
      </c>
      <c r="L203" s="110">
        <v>0</v>
      </c>
      <c r="M203" s="110">
        <v>0</v>
      </c>
      <c r="N203" s="110">
        <v>0</v>
      </c>
      <c r="O203" s="29" t="s">
        <v>4385</v>
      </c>
      <c r="P203" s="126">
        <v>201</v>
      </c>
      <c r="Q203" t="str">
        <f t="shared" si="3"/>
        <v>HARVESTPIPELINECOMPANYLLC1111TRAVISSTREETHOUSTON</v>
      </c>
    </row>
    <row r="204" spans="1:17" x14ac:dyDescent="0.25">
      <c r="A204" s="29"/>
      <c r="B204" s="29" t="s">
        <v>4472</v>
      </c>
      <c r="C204" s="92" t="s">
        <v>1493</v>
      </c>
      <c r="D204" s="100" t="s">
        <v>1494</v>
      </c>
      <c r="E204" s="29"/>
      <c r="F204" s="93" t="s">
        <v>123</v>
      </c>
      <c r="G204" s="93" t="s">
        <v>84</v>
      </c>
      <c r="H204" s="93">
        <v>87401</v>
      </c>
      <c r="I204" s="93" t="s">
        <v>62</v>
      </c>
      <c r="J204" s="29"/>
      <c r="K204" s="110">
        <v>0</v>
      </c>
      <c r="L204" s="110">
        <v>0</v>
      </c>
      <c r="M204" s="110">
        <v>0</v>
      </c>
      <c r="N204" s="110">
        <v>0</v>
      </c>
      <c r="O204" s="29" t="s">
        <v>4385</v>
      </c>
      <c r="P204" s="126">
        <v>202</v>
      </c>
      <c r="Q204" t="str">
        <f t="shared" si="3"/>
        <v>HENRYPRODUCTIONINC3440MORNINGSTARDRFARMINGTON</v>
      </c>
    </row>
    <row r="205" spans="1:17" x14ac:dyDescent="0.25">
      <c r="A205" s="29"/>
      <c r="B205" s="29"/>
      <c r="C205" s="94" t="s">
        <v>1504</v>
      </c>
      <c r="D205" s="93" t="s">
        <v>1505</v>
      </c>
      <c r="E205" s="29"/>
      <c r="F205" s="93" t="s">
        <v>153</v>
      </c>
      <c r="G205" s="93" t="s">
        <v>80</v>
      </c>
      <c r="H205" s="93">
        <v>79705</v>
      </c>
      <c r="I205" s="93" t="s">
        <v>62</v>
      </c>
      <c r="J205" s="29"/>
      <c r="K205" s="110">
        <v>0</v>
      </c>
      <c r="L205" s="110">
        <v>1</v>
      </c>
      <c r="M205" s="110">
        <v>79</v>
      </c>
      <c r="N205" s="110">
        <v>123</v>
      </c>
      <c r="O205" s="29" t="s">
        <v>4386</v>
      </c>
      <c r="P205" s="126">
        <v>203</v>
      </c>
      <c r="Q205" t="str">
        <f t="shared" si="3"/>
        <v>HEXPOPERATINGLLC113CORPORATEDRIVEMIDLAND</v>
      </c>
    </row>
    <row r="206" spans="1:17" x14ac:dyDescent="0.25">
      <c r="A206" s="29"/>
      <c r="B206" s="29"/>
      <c r="C206" s="94" t="s">
        <v>1508</v>
      </c>
      <c r="D206" s="93" t="s">
        <v>1509</v>
      </c>
      <c r="E206" s="29"/>
      <c r="F206" s="93" t="s">
        <v>1510</v>
      </c>
      <c r="G206" s="93" t="s">
        <v>61</v>
      </c>
      <c r="H206" s="93">
        <v>80305</v>
      </c>
      <c r="I206" s="93" t="s">
        <v>62</v>
      </c>
      <c r="J206" s="29"/>
      <c r="K206" s="110">
        <v>0</v>
      </c>
      <c r="L206" s="110">
        <v>1</v>
      </c>
      <c r="M206" s="110">
        <v>0</v>
      </c>
      <c r="N206" s="110">
        <v>114</v>
      </c>
      <c r="O206" s="29" t="s">
        <v>4386</v>
      </c>
      <c r="P206" s="126">
        <v>204</v>
      </c>
      <c r="Q206" t="str">
        <f t="shared" si="3"/>
        <v>HIGHPLAINSPETROLEUMCORP3860CARLOCKDRBOULDER</v>
      </c>
    </row>
    <row r="207" spans="1:17" x14ac:dyDescent="0.25">
      <c r="A207" s="29"/>
      <c r="B207" s="29" t="s">
        <v>4472</v>
      </c>
      <c r="C207" s="92" t="s">
        <v>1515</v>
      </c>
      <c r="D207" s="100" t="s">
        <v>1516</v>
      </c>
      <c r="E207" s="29"/>
      <c r="F207" s="93" t="s">
        <v>593</v>
      </c>
      <c r="G207" s="93" t="s">
        <v>84</v>
      </c>
      <c r="H207" s="93">
        <v>87410</v>
      </c>
      <c r="I207" s="93" t="s">
        <v>62</v>
      </c>
      <c r="J207" s="29"/>
      <c r="K207" s="110">
        <v>0</v>
      </c>
      <c r="L207" s="110">
        <v>0</v>
      </c>
      <c r="M207" s="110">
        <v>0</v>
      </c>
      <c r="N207" s="110">
        <v>0</v>
      </c>
      <c r="O207" s="29" t="s">
        <v>4385</v>
      </c>
      <c r="P207" s="126">
        <v>205</v>
      </c>
      <c r="Q207" t="str">
        <f t="shared" si="3"/>
        <v>HILCORPENERGYCOMPANY382CR3100AZTEC</v>
      </c>
    </row>
    <row r="208" spans="1:17" x14ac:dyDescent="0.25">
      <c r="A208" s="29"/>
      <c r="B208" s="29"/>
      <c r="C208" s="94" t="s">
        <v>1517</v>
      </c>
      <c r="D208" s="93" t="s">
        <v>1487</v>
      </c>
      <c r="E208" s="29"/>
      <c r="F208" s="93" t="s">
        <v>112</v>
      </c>
      <c r="G208" s="93" t="s">
        <v>80</v>
      </c>
      <c r="H208" s="93">
        <v>77002</v>
      </c>
      <c r="I208" s="93" t="s">
        <v>62</v>
      </c>
      <c r="J208" s="29"/>
      <c r="K208" s="110">
        <v>5725</v>
      </c>
      <c r="L208" s="110">
        <v>5641</v>
      </c>
      <c r="M208" s="110">
        <v>479519075</v>
      </c>
      <c r="N208" s="110">
        <v>1127605</v>
      </c>
      <c r="O208" s="29" t="s">
        <v>4386</v>
      </c>
      <c r="P208" s="126">
        <v>206</v>
      </c>
      <c r="Q208" t="str">
        <f t="shared" si="3"/>
        <v>HILCORPENERGYCOMPANY1111TRAVISSTREETHOUSTON</v>
      </c>
    </row>
    <row r="209" spans="1:17" x14ac:dyDescent="0.25">
      <c r="A209" s="29"/>
      <c r="B209" s="29"/>
      <c r="C209" s="94" t="s">
        <v>1520</v>
      </c>
      <c r="D209" s="93" t="s">
        <v>1521</v>
      </c>
      <c r="E209" s="29"/>
      <c r="F209" s="93" t="s">
        <v>123</v>
      </c>
      <c r="G209" s="93" t="s">
        <v>84</v>
      </c>
      <c r="H209" s="93">
        <v>87499</v>
      </c>
      <c r="I209" s="93" t="s">
        <v>62</v>
      </c>
      <c r="J209" s="29"/>
      <c r="K209" s="110">
        <v>3</v>
      </c>
      <c r="L209" s="110">
        <v>20</v>
      </c>
      <c r="M209" s="110">
        <v>196766</v>
      </c>
      <c r="N209" s="110">
        <v>0</v>
      </c>
      <c r="O209" s="29" t="s">
        <v>4386</v>
      </c>
      <c r="P209" s="126">
        <v>207</v>
      </c>
      <c r="Q209" t="str">
        <f t="shared" si="3"/>
        <v>HOLCOMBOIL&amp;GASINCPOBOX2058FARMINGTON</v>
      </c>
    </row>
    <row r="210" spans="1:17" x14ac:dyDescent="0.25">
      <c r="A210" s="29"/>
      <c r="B210" s="29" t="s">
        <v>4498</v>
      </c>
      <c r="C210" s="99" t="s">
        <v>1527</v>
      </c>
      <c r="D210" s="100" t="s">
        <v>1528</v>
      </c>
      <c r="E210" s="29"/>
      <c r="F210" s="93" t="s">
        <v>83</v>
      </c>
      <c r="G210" s="93" t="s">
        <v>84</v>
      </c>
      <c r="H210" s="93">
        <v>88210</v>
      </c>
      <c r="I210" s="93" t="s">
        <v>62</v>
      </c>
      <c r="J210" s="29"/>
      <c r="K210" s="110">
        <v>0</v>
      </c>
      <c r="L210" s="110">
        <v>0</v>
      </c>
      <c r="M210" s="110">
        <v>0</v>
      </c>
      <c r="N210" s="110">
        <v>0</v>
      </c>
      <c r="O210" s="29" t="s">
        <v>4385</v>
      </c>
      <c r="P210" s="126">
        <v>208</v>
      </c>
      <c r="Q210" t="str">
        <f t="shared" si="3"/>
        <v>HOLLYENERGYPARTNERSOPERATINGLP1602WESTMAINARTESIA</v>
      </c>
    </row>
    <row r="211" spans="1:17" x14ac:dyDescent="0.25">
      <c r="A211" s="29"/>
      <c r="B211" s="29"/>
      <c r="C211" s="99" t="s">
        <v>1534</v>
      </c>
      <c r="D211" s="100" t="s">
        <v>1535</v>
      </c>
      <c r="E211" s="29"/>
      <c r="F211" s="93" t="s">
        <v>83</v>
      </c>
      <c r="G211" s="93" t="s">
        <v>84</v>
      </c>
      <c r="H211" s="93">
        <v>88211</v>
      </c>
      <c r="I211" s="93" t="s">
        <v>62</v>
      </c>
      <c r="J211" s="29"/>
      <c r="K211" s="110">
        <v>0</v>
      </c>
      <c r="L211" s="110">
        <v>0</v>
      </c>
      <c r="M211" s="110">
        <v>0</v>
      </c>
      <c r="N211" s="110">
        <v>0</v>
      </c>
      <c r="O211" s="29" t="s">
        <v>4385</v>
      </c>
      <c r="P211" s="126">
        <v>209</v>
      </c>
      <c r="Q211" t="str">
        <f t="shared" si="3"/>
        <v>HOLLYFRONTIERNAVAJOREFININGLLCPOBOX159ARTESIA</v>
      </c>
    </row>
    <row r="212" spans="1:17" x14ac:dyDescent="0.25">
      <c r="A212" s="29"/>
      <c r="B212" s="29"/>
      <c r="C212" s="94" t="s">
        <v>1547</v>
      </c>
      <c r="D212" s="105" t="s">
        <v>1548</v>
      </c>
      <c r="E212" s="29"/>
      <c r="F212" s="105" t="s">
        <v>153</v>
      </c>
      <c r="G212" s="93" t="s">
        <v>80</v>
      </c>
      <c r="H212" s="93">
        <v>79710</v>
      </c>
      <c r="I212" s="93" t="s">
        <v>62</v>
      </c>
      <c r="J212" s="29"/>
      <c r="K212" s="110">
        <v>2</v>
      </c>
      <c r="L212" s="110">
        <v>28</v>
      </c>
      <c r="M212" s="110">
        <v>126833</v>
      </c>
      <c r="N212" s="110">
        <v>8121</v>
      </c>
      <c r="O212" s="29" t="s">
        <v>4386</v>
      </c>
      <c r="P212" s="126">
        <v>210</v>
      </c>
      <c r="Q212" t="str">
        <f t="shared" si="3"/>
        <v>HORSESHOEOPERATINGINCPOBOX51790MIDLAND</v>
      </c>
    </row>
    <row r="213" spans="1:17" x14ac:dyDescent="0.25">
      <c r="A213" s="29"/>
      <c r="B213" s="29"/>
      <c r="C213" s="94" t="s">
        <v>1553</v>
      </c>
      <c r="D213" s="93" t="s">
        <v>1554</v>
      </c>
      <c r="E213" s="29"/>
      <c r="F213" s="93" t="s">
        <v>1555</v>
      </c>
      <c r="G213" s="93" t="s">
        <v>84</v>
      </c>
      <c r="H213" s="93">
        <v>87013</v>
      </c>
      <c r="I213" s="93" t="s">
        <v>62</v>
      </c>
      <c r="J213" s="29"/>
      <c r="K213" s="110">
        <v>2</v>
      </c>
      <c r="L213" s="110">
        <v>1</v>
      </c>
      <c r="M213" s="110">
        <v>0</v>
      </c>
      <c r="N213" s="110">
        <v>1552</v>
      </c>
      <c r="O213" s="29" t="s">
        <v>4386</v>
      </c>
      <c r="P213" s="126">
        <v>211</v>
      </c>
      <c r="Q213" t="str">
        <f t="shared" si="3"/>
        <v>HPOCLLCPOBOX1898CUBA</v>
      </c>
    </row>
    <row r="214" spans="1:17" x14ac:dyDescent="0.25">
      <c r="A214" s="29"/>
      <c r="B214" s="29"/>
      <c r="C214" s="94" t="s">
        <v>1562</v>
      </c>
      <c r="D214" s="93" t="s">
        <v>1563</v>
      </c>
      <c r="E214" s="29"/>
      <c r="F214" s="93" t="s">
        <v>153</v>
      </c>
      <c r="G214" s="93" t="s">
        <v>80</v>
      </c>
      <c r="H214" s="93">
        <v>79701</v>
      </c>
      <c r="I214" s="93" t="s">
        <v>62</v>
      </c>
      <c r="J214" s="29"/>
      <c r="K214" s="110">
        <v>0</v>
      </c>
      <c r="L214" s="110">
        <v>38</v>
      </c>
      <c r="M214" s="110">
        <v>45112</v>
      </c>
      <c r="N214" s="110">
        <v>34132</v>
      </c>
      <c r="O214" s="29" t="s">
        <v>4386</v>
      </c>
      <c r="P214" s="126">
        <v>212</v>
      </c>
      <c r="Q214" t="str">
        <f t="shared" si="3"/>
        <v>HPPCINC306WWALL209MIDLAND</v>
      </c>
    </row>
    <row r="215" spans="1:17" x14ac:dyDescent="0.25">
      <c r="A215" s="29"/>
      <c r="B215" s="29"/>
      <c r="C215" s="94" t="s">
        <v>1570</v>
      </c>
      <c r="D215" s="93" t="s">
        <v>1571</v>
      </c>
      <c r="E215" s="29"/>
      <c r="F215" s="93" t="s">
        <v>88</v>
      </c>
      <c r="G215" s="93" t="s">
        <v>80</v>
      </c>
      <c r="H215" s="93">
        <v>76102</v>
      </c>
      <c r="I215" s="93" t="s">
        <v>62</v>
      </c>
      <c r="J215" s="29"/>
      <c r="K215" s="110">
        <v>0</v>
      </c>
      <c r="L215" s="110">
        <v>67</v>
      </c>
      <c r="M215" s="110">
        <v>122351</v>
      </c>
      <c r="N215" s="110">
        <v>49210</v>
      </c>
      <c r="O215" s="29" t="s">
        <v>4386</v>
      </c>
      <c r="P215" s="126">
        <v>213</v>
      </c>
      <c r="Q215" t="str">
        <f t="shared" si="3"/>
        <v>HUDSONOILCOMPANYOFTEXAS616TEXASSTREETFORTWORTH</v>
      </c>
    </row>
    <row r="216" spans="1:17" x14ac:dyDescent="0.25">
      <c r="A216" s="29"/>
      <c r="B216" s="29"/>
      <c r="C216" s="94" t="s">
        <v>1578</v>
      </c>
      <c r="D216" s="93" t="s">
        <v>1579</v>
      </c>
      <c r="E216" s="29"/>
      <c r="F216" s="93" t="s">
        <v>209</v>
      </c>
      <c r="G216" s="93" t="s">
        <v>84</v>
      </c>
      <c r="H216" s="93">
        <v>882021592</v>
      </c>
      <c r="I216" s="93" t="s">
        <v>62</v>
      </c>
      <c r="J216" s="29"/>
      <c r="K216" s="110">
        <v>2</v>
      </c>
      <c r="L216" s="110">
        <v>6</v>
      </c>
      <c r="M216" s="110">
        <v>6425</v>
      </c>
      <c r="N216" s="110">
        <v>23332</v>
      </c>
      <c r="O216" s="29" t="s">
        <v>4386</v>
      </c>
      <c r="P216" s="126">
        <v>214</v>
      </c>
      <c r="Q216" t="str">
        <f t="shared" si="3"/>
        <v>HUNTCIMARRONLIMITEDPARTNERSHIPPOBOX1592ROSWELL</v>
      </c>
    </row>
    <row r="217" spans="1:17" x14ac:dyDescent="0.25">
      <c r="A217" s="29"/>
      <c r="B217" s="29"/>
      <c r="C217" s="94" t="s">
        <v>1585</v>
      </c>
      <c r="D217" s="93" t="s">
        <v>1586</v>
      </c>
      <c r="E217" s="29"/>
      <c r="F217" s="93" t="s">
        <v>585</v>
      </c>
      <c r="G217" s="93" t="s">
        <v>184</v>
      </c>
      <c r="H217" s="93">
        <v>73116</v>
      </c>
      <c r="I217" s="93" t="s">
        <v>62</v>
      </c>
      <c r="J217" s="29"/>
      <c r="K217" s="110">
        <v>6</v>
      </c>
      <c r="L217" s="110">
        <v>8</v>
      </c>
      <c r="M217" s="110">
        <v>555307</v>
      </c>
      <c r="N217" s="110">
        <v>0</v>
      </c>
      <c r="O217" s="29" t="s">
        <v>4386</v>
      </c>
      <c r="P217" s="126">
        <v>215</v>
      </c>
      <c r="Q217" t="str">
        <f t="shared" si="3"/>
        <v>HUNTINGTONENERGYLLC908NW71STSTREETOKLAHOMACITY</v>
      </c>
    </row>
    <row r="218" spans="1:17" x14ac:dyDescent="0.25">
      <c r="A218" s="29"/>
      <c r="B218" s="29"/>
      <c r="C218" s="94" t="s">
        <v>1591</v>
      </c>
      <c r="D218" s="93" t="s">
        <v>1592</v>
      </c>
      <c r="E218" s="29"/>
      <c r="F218" s="93" t="s">
        <v>378</v>
      </c>
      <c r="G218" s="93" t="s">
        <v>80</v>
      </c>
      <c r="H218" s="93">
        <v>75244</v>
      </c>
      <c r="I218" s="93" t="s">
        <v>62</v>
      </c>
      <c r="J218" s="29"/>
      <c r="K218" s="110">
        <v>39</v>
      </c>
      <c r="L218" s="110">
        <v>406</v>
      </c>
      <c r="M218" s="110">
        <v>4755676</v>
      </c>
      <c r="N218" s="110">
        <v>17753</v>
      </c>
      <c r="O218" s="29" t="s">
        <v>4386</v>
      </c>
      <c r="P218" s="126">
        <v>216</v>
      </c>
      <c r="Q218" t="str">
        <f t="shared" si="3"/>
        <v>IACXPRODUCTIONLLC5001LBJFREEWAYDALLAS</v>
      </c>
    </row>
    <row r="219" spans="1:17" x14ac:dyDescent="0.25">
      <c r="A219" s="29"/>
      <c r="B219" s="29"/>
      <c r="C219" s="94" t="s">
        <v>1601</v>
      </c>
      <c r="D219" s="105" t="s">
        <v>1602</v>
      </c>
      <c r="E219" s="29"/>
      <c r="F219" s="93" t="s">
        <v>88</v>
      </c>
      <c r="G219" s="93" t="s">
        <v>80</v>
      </c>
      <c r="H219" s="93">
        <v>76102</v>
      </c>
      <c r="I219" s="93" t="s">
        <v>62</v>
      </c>
      <c r="J219" s="29"/>
      <c r="K219" s="110">
        <v>4</v>
      </c>
      <c r="L219" s="110">
        <v>0</v>
      </c>
      <c r="M219" s="110">
        <v>1072563</v>
      </c>
      <c r="N219" s="110">
        <v>233492</v>
      </c>
      <c r="O219" s="29" t="s">
        <v>4386</v>
      </c>
      <c r="P219" s="126">
        <v>217</v>
      </c>
      <c r="Q219" t="str">
        <f t="shared" si="3"/>
        <v>IMPETROOPERATINGLLC201MAINSTREETFORTWORTH</v>
      </c>
    </row>
    <row r="220" spans="1:17" x14ac:dyDescent="0.25">
      <c r="A220" s="29"/>
      <c r="B220" s="29"/>
      <c r="C220" s="94" t="s">
        <v>1612</v>
      </c>
      <c r="D220" s="93" t="s">
        <v>1613</v>
      </c>
      <c r="E220" s="29"/>
      <c r="F220" s="93" t="s">
        <v>1265</v>
      </c>
      <c r="G220" s="93" t="s">
        <v>84</v>
      </c>
      <c r="H220" s="93">
        <v>88260</v>
      </c>
      <c r="I220" s="93" t="s">
        <v>62</v>
      </c>
      <c r="J220" s="29"/>
      <c r="K220" s="110">
        <v>2</v>
      </c>
      <c r="L220" s="110">
        <v>9</v>
      </c>
      <c r="M220" s="110">
        <v>41542</v>
      </c>
      <c r="N220" s="110">
        <v>4364</v>
      </c>
      <c r="O220" s="29" t="s">
        <v>4386</v>
      </c>
      <c r="P220" s="126">
        <v>218</v>
      </c>
      <c r="Q220" t="str">
        <f t="shared" si="3"/>
        <v>J&amp;JSERVICEINCPOBOX324LOVINGTON</v>
      </c>
    </row>
    <row r="221" spans="1:17" x14ac:dyDescent="0.25">
      <c r="A221" s="29"/>
      <c r="B221" s="29"/>
      <c r="C221" s="94" t="s">
        <v>1622</v>
      </c>
      <c r="D221" s="93" t="s">
        <v>1623</v>
      </c>
      <c r="E221" s="29"/>
      <c r="F221" s="93" t="s">
        <v>123</v>
      </c>
      <c r="G221" s="93" t="s">
        <v>84</v>
      </c>
      <c r="H221" s="93">
        <v>87402</v>
      </c>
      <c r="I221" s="93" t="s">
        <v>62</v>
      </c>
      <c r="J221" s="29"/>
      <c r="K221" s="110">
        <v>0</v>
      </c>
      <c r="L221" s="110">
        <v>1</v>
      </c>
      <c r="M221" s="110">
        <v>943</v>
      </c>
      <c r="N221" s="110">
        <v>0</v>
      </c>
      <c r="O221" s="29" t="s">
        <v>4386</v>
      </c>
      <c r="P221" s="126">
        <v>219</v>
      </c>
      <c r="Q221" t="str">
        <f t="shared" si="3"/>
        <v>JBMARTINEZ5006SANDALWOODDRFARMINGTON</v>
      </c>
    </row>
    <row r="222" spans="1:17" x14ac:dyDescent="0.25">
      <c r="A222" s="29"/>
      <c r="B222" s="29" t="s">
        <v>4472</v>
      </c>
      <c r="C222" s="92" t="s">
        <v>1624</v>
      </c>
      <c r="D222" s="100" t="s">
        <v>1625</v>
      </c>
      <c r="E222" s="29"/>
      <c r="F222" s="93" t="s">
        <v>523</v>
      </c>
      <c r="G222" s="93" t="s">
        <v>80</v>
      </c>
      <c r="H222" s="93">
        <v>79768</v>
      </c>
      <c r="I222" s="93" t="s">
        <v>62</v>
      </c>
      <c r="J222" s="29"/>
      <c r="K222" s="110">
        <v>0</v>
      </c>
      <c r="L222" s="110">
        <v>0</v>
      </c>
      <c r="M222" s="110">
        <v>0</v>
      </c>
      <c r="N222" s="110">
        <v>0</v>
      </c>
      <c r="O222" s="29" t="s">
        <v>4385</v>
      </c>
      <c r="P222" s="126">
        <v>220</v>
      </c>
      <c r="Q222" t="str">
        <f t="shared" si="3"/>
        <v>JCLEOTHOMPSONANDJAMESCLEOTHOMPSONJRLPPOBOX12577ODESSA</v>
      </c>
    </row>
    <row r="223" spans="1:17" x14ac:dyDescent="0.25">
      <c r="A223" s="29"/>
      <c r="B223" s="29"/>
      <c r="C223" s="94" t="s">
        <v>1633</v>
      </c>
      <c r="D223" s="93" t="s">
        <v>1634</v>
      </c>
      <c r="E223" s="29"/>
      <c r="F223" s="93" t="s">
        <v>206</v>
      </c>
      <c r="G223" s="93" t="s">
        <v>84</v>
      </c>
      <c r="H223" s="93">
        <v>88241</v>
      </c>
      <c r="I223" s="93" t="s">
        <v>62</v>
      </c>
      <c r="J223" s="29"/>
      <c r="K223" s="110">
        <v>2</v>
      </c>
      <c r="L223" s="110">
        <v>25</v>
      </c>
      <c r="M223" s="110">
        <v>68051</v>
      </c>
      <c r="N223" s="110">
        <v>10968</v>
      </c>
      <c r="O223" s="29" t="s">
        <v>4386</v>
      </c>
      <c r="P223" s="126">
        <v>221</v>
      </c>
      <c r="Q223" t="str">
        <f t="shared" si="3"/>
        <v>JROILLTDCOPOBOX2975HOBBS</v>
      </c>
    </row>
    <row r="224" spans="1:17" x14ac:dyDescent="0.25">
      <c r="A224" s="29"/>
      <c r="B224" s="29"/>
      <c r="C224" s="94" t="s">
        <v>1642</v>
      </c>
      <c r="D224" s="93" t="s">
        <v>1643</v>
      </c>
      <c r="E224" s="29"/>
      <c r="F224" s="93" t="s">
        <v>378</v>
      </c>
      <c r="G224" s="93" t="s">
        <v>80</v>
      </c>
      <c r="H224" s="93">
        <v>75219</v>
      </c>
      <c r="I224" s="93" t="s">
        <v>62</v>
      </c>
      <c r="J224" s="29"/>
      <c r="K224" s="110">
        <v>0</v>
      </c>
      <c r="L224" s="110">
        <v>1</v>
      </c>
      <c r="M224" s="110">
        <v>0</v>
      </c>
      <c r="N224" s="110">
        <v>260</v>
      </c>
      <c r="O224" s="29" t="s">
        <v>4386</v>
      </c>
      <c r="P224" s="126">
        <v>222</v>
      </c>
      <c r="Q224" t="str">
        <f t="shared" si="3"/>
        <v>JACKDKNOX3878OAKLAWNDALLAS</v>
      </c>
    </row>
    <row r="225" spans="1:17" x14ac:dyDescent="0.25">
      <c r="A225" s="29"/>
      <c r="B225" s="29"/>
      <c r="C225" s="94" t="s">
        <v>1644</v>
      </c>
      <c r="D225" s="93" t="s">
        <v>1645</v>
      </c>
      <c r="E225" s="29"/>
      <c r="F225" s="93" t="s">
        <v>153</v>
      </c>
      <c r="G225" s="93" t="s">
        <v>80</v>
      </c>
      <c r="H225" s="93">
        <v>79705</v>
      </c>
      <c r="I225" s="93" t="s">
        <v>62</v>
      </c>
      <c r="J225" s="29"/>
      <c r="K225" s="110">
        <v>1</v>
      </c>
      <c r="L225" s="110">
        <v>3</v>
      </c>
      <c r="M225" s="110">
        <v>45303</v>
      </c>
      <c r="N225" s="110">
        <v>386</v>
      </c>
      <c r="O225" s="29" t="s">
        <v>4386</v>
      </c>
      <c r="P225" s="126">
        <v>223</v>
      </c>
      <c r="Q225" t="str">
        <f t="shared" si="3"/>
        <v>JACKHUFFPOBOX50190MIDLAND</v>
      </c>
    </row>
    <row r="226" spans="1:17" x14ac:dyDescent="0.25">
      <c r="A226" s="29"/>
      <c r="B226" s="29"/>
      <c r="C226" s="94" t="s">
        <v>1651</v>
      </c>
      <c r="D226" s="105" t="s">
        <v>1652</v>
      </c>
      <c r="E226" s="29"/>
      <c r="F226" s="93" t="s">
        <v>1653</v>
      </c>
      <c r="G226" s="93" t="s">
        <v>61</v>
      </c>
      <c r="H226" s="93">
        <v>80111</v>
      </c>
      <c r="I226" s="93" t="s">
        <v>62</v>
      </c>
      <c r="J226" s="29"/>
      <c r="K226" s="110">
        <v>0</v>
      </c>
      <c r="L226" s="110">
        <v>5</v>
      </c>
      <c r="M226" s="110">
        <v>7475</v>
      </c>
      <c r="N226" s="110">
        <v>0</v>
      </c>
      <c r="O226" s="29" t="s">
        <v>4386</v>
      </c>
      <c r="P226" s="126">
        <v>224</v>
      </c>
      <c r="Q226" t="str">
        <f t="shared" si="3"/>
        <v>JACKJGRYNBERG5299DTCBLVDGREENWWODVILLAGE</v>
      </c>
    </row>
    <row r="227" spans="1:17" x14ac:dyDescent="0.25">
      <c r="A227" s="29"/>
      <c r="B227" s="29"/>
      <c r="C227" s="94" t="s">
        <v>1654</v>
      </c>
      <c r="D227" s="93" t="s">
        <v>1655</v>
      </c>
      <c r="E227" s="29"/>
      <c r="F227" s="93" t="s">
        <v>1073</v>
      </c>
      <c r="G227" s="93" t="s">
        <v>84</v>
      </c>
      <c r="H227" s="93">
        <v>87103</v>
      </c>
      <c r="I227" s="93" t="s">
        <v>62</v>
      </c>
      <c r="J227" s="29"/>
      <c r="K227" s="110">
        <v>0</v>
      </c>
      <c r="L227" s="110">
        <v>3</v>
      </c>
      <c r="M227" s="110">
        <v>0</v>
      </c>
      <c r="N227" s="110">
        <v>845</v>
      </c>
      <c r="O227" s="29" t="s">
        <v>4386</v>
      </c>
      <c r="P227" s="126">
        <v>225</v>
      </c>
      <c r="Q227" t="str">
        <f t="shared" si="3"/>
        <v>JALAPENOCORPORATIONPOBOX1608ALBUQUERQUE</v>
      </c>
    </row>
    <row r="228" spans="1:17" x14ac:dyDescent="0.25">
      <c r="A228" s="29"/>
      <c r="B228" s="29"/>
      <c r="C228" s="94" t="s">
        <v>1662</v>
      </c>
      <c r="D228" s="93" t="s">
        <v>1663</v>
      </c>
      <c r="E228" s="29"/>
      <c r="F228" s="93" t="s">
        <v>112</v>
      </c>
      <c r="G228" s="93" t="s">
        <v>80</v>
      </c>
      <c r="H228" s="93" t="s">
        <v>1664</v>
      </c>
      <c r="I228" s="93" t="s">
        <v>62</v>
      </c>
      <c r="J228" s="29"/>
      <c r="K228" s="110">
        <v>8</v>
      </c>
      <c r="L228" s="110">
        <v>22</v>
      </c>
      <c r="M228" s="110">
        <v>403282</v>
      </c>
      <c r="N228" s="110">
        <v>31009</v>
      </c>
      <c r="O228" s="29" t="s">
        <v>4386</v>
      </c>
      <c r="P228" s="126">
        <v>226</v>
      </c>
      <c r="Q228" t="str">
        <f t="shared" si="3"/>
        <v>JAYMANAGEMENTCOMPANYLLC11767KATYFWYHOUSTON</v>
      </c>
    </row>
    <row r="229" spans="1:17" x14ac:dyDescent="0.25">
      <c r="A229" s="29"/>
      <c r="B229" s="29"/>
      <c r="C229" s="94" t="s">
        <v>1668</v>
      </c>
      <c r="D229" s="93" t="s">
        <v>1669</v>
      </c>
      <c r="E229" s="29"/>
      <c r="F229" s="93" t="s">
        <v>1035</v>
      </c>
      <c r="G229" s="93" t="s">
        <v>84</v>
      </c>
      <c r="H229" s="93">
        <v>87413</v>
      </c>
      <c r="I229" s="93" t="s">
        <v>62</v>
      </c>
      <c r="J229" s="29"/>
      <c r="K229" s="110">
        <v>48</v>
      </c>
      <c r="L229" s="110">
        <v>119</v>
      </c>
      <c r="M229" s="110">
        <v>3790148</v>
      </c>
      <c r="N229" s="110">
        <v>0</v>
      </c>
      <c r="O229" s="29" t="s">
        <v>4386</v>
      </c>
      <c r="P229" s="126">
        <v>227</v>
      </c>
      <c r="Q229" t="str">
        <f t="shared" si="3"/>
        <v>JICARILLAENERGYCOPOBOX249BLOOMFIELD</v>
      </c>
    </row>
    <row r="230" spans="1:17" x14ac:dyDescent="0.25">
      <c r="A230" s="29"/>
      <c r="B230" s="29"/>
      <c r="C230" s="94" t="s">
        <v>1676</v>
      </c>
      <c r="D230" s="93" t="s">
        <v>1677</v>
      </c>
      <c r="E230" s="29"/>
      <c r="F230" s="93" t="s">
        <v>246</v>
      </c>
      <c r="G230" s="93" t="s">
        <v>80</v>
      </c>
      <c r="H230" s="93">
        <v>75093</v>
      </c>
      <c r="I230" s="93" t="s">
        <v>62</v>
      </c>
      <c r="J230" s="29"/>
      <c r="K230" s="110">
        <v>3</v>
      </c>
      <c r="L230" s="110">
        <v>4</v>
      </c>
      <c r="M230" s="110">
        <v>15342</v>
      </c>
      <c r="N230" s="110">
        <v>24862</v>
      </c>
      <c r="O230" s="29" t="s">
        <v>4386</v>
      </c>
      <c r="P230" s="126">
        <v>228</v>
      </c>
      <c r="Q230" t="str">
        <f t="shared" si="3"/>
        <v>JILPETCOINC5700WPLANOPKWYPLANO</v>
      </c>
    </row>
    <row r="231" spans="1:17" x14ac:dyDescent="0.25">
      <c r="A231" s="29"/>
      <c r="B231" s="29"/>
      <c r="C231" s="94" t="s">
        <v>1678</v>
      </c>
      <c r="D231" s="93" t="s">
        <v>1679</v>
      </c>
      <c r="E231" s="29"/>
      <c r="F231" s="93" t="s">
        <v>83</v>
      </c>
      <c r="G231" s="93" t="s">
        <v>84</v>
      </c>
      <c r="H231" s="93">
        <v>88210</v>
      </c>
      <c r="I231" s="93" t="s">
        <v>62</v>
      </c>
      <c r="J231" s="29"/>
      <c r="K231" s="110">
        <v>1</v>
      </c>
      <c r="L231" s="110">
        <v>12</v>
      </c>
      <c r="M231" s="110">
        <v>44115</v>
      </c>
      <c r="N231" s="110">
        <v>3874</v>
      </c>
      <c r="O231" s="29" t="s">
        <v>4386</v>
      </c>
      <c r="P231" s="126">
        <v>229</v>
      </c>
      <c r="Q231" t="str">
        <f t="shared" si="3"/>
        <v>JKMENERGYLLC26ECOMPRESSROADARTESIA</v>
      </c>
    </row>
    <row r="232" spans="1:17" x14ac:dyDescent="0.25">
      <c r="A232" s="29"/>
      <c r="B232" s="29"/>
      <c r="C232" s="94" t="s">
        <v>1686</v>
      </c>
      <c r="D232" s="93" t="s">
        <v>1687</v>
      </c>
      <c r="E232" s="29"/>
      <c r="F232" s="93" t="s">
        <v>1073</v>
      </c>
      <c r="G232" s="93" t="s">
        <v>84</v>
      </c>
      <c r="H232" s="93">
        <v>87125</v>
      </c>
      <c r="I232" s="93" t="s">
        <v>62</v>
      </c>
      <c r="J232" s="29"/>
      <c r="K232" s="110">
        <v>0</v>
      </c>
      <c r="L232" s="110">
        <v>10</v>
      </c>
      <c r="M232" s="110">
        <v>62710</v>
      </c>
      <c r="N232" s="110">
        <v>30</v>
      </c>
      <c r="O232" s="29" t="s">
        <v>4386</v>
      </c>
      <c r="P232" s="126">
        <v>230</v>
      </c>
      <c r="Q232" t="str">
        <f t="shared" si="3"/>
        <v>JOHNESCHALKPOBOX25825ALBUQUERQUE</v>
      </c>
    </row>
    <row r="233" spans="1:17" x14ac:dyDescent="0.25">
      <c r="A233" s="29"/>
      <c r="B233" s="29"/>
      <c r="C233" s="94" t="s">
        <v>1688</v>
      </c>
      <c r="D233" s="100" t="s">
        <v>343</v>
      </c>
      <c r="E233" s="29"/>
      <c r="F233" s="96" t="s">
        <v>1689</v>
      </c>
      <c r="G233" s="96" t="s">
        <v>1690</v>
      </c>
      <c r="H233" s="96" t="s">
        <v>1691</v>
      </c>
      <c r="I233" s="93" t="s">
        <v>62</v>
      </c>
      <c r="J233" s="29"/>
      <c r="K233" s="110">
        <v>0</v>
      </c>
      <c r="L233" s="110">
        <v>1</v>
      </c>
      <c r="M233" s="110">
        <v>0</v>
      </c>
      <c r="N233" s="110">
        <v>15</v>
      </c>
      <c r="O233" s="29" t="s">
        <v>4386</v>
      </c>
      <c r="P233" s="126">
        <v>231</v>
      </c>
      <c r="Q233" t="str">
        <f t="shared" si="3"/>
        <v>JOHNEMCCOOLPOBOX202YOUNGSVILLE</v>
      </c>
    </row>
    <row r="234" spans="1:17" x14ac:dyDescent="0.25">
      <c r="A234" s="29"/>
      <c r="B234" s="29"/>
      <c r="C234" s="94" t="s">
        <v>1692</v>
      </c>
      <c r="D234" s="93" t="s">
        <v>1693</v>
      </c>
      <c r="E234" s="29"/>
      <c r="F234" s="93" t="s">
        <v>88</v>
      </c>
      <c r="G234" s="93" t="s">
        <v>80</v>
      </c>
      <c r="H234" s="93">
        <v>761075111</v>
      </c>
      <c r="I234" s="93" t="s">
        <v>62</v>
      </c>
      <c r="J234" s="29"/>
      <c r="K234" s="110">
        <v>1</v>
      </c>
      <c r="L234" s="110">
        <v>4</v>
      </c>
      <c r="M234" s="110">
        <v>5423</v>
      </c>
      <c r="N234" s="110">
        <v>3444</v>
      </c>
      <c r="O234" s="29" t="s">
        <v>4386</v>
      </c>
      <c r="P234" s="126">
        <v>232</v>
      </c>
      <c r="Q234" t="str">
        <f t="shared" si="3"/>
        <v>JOINTRESOURCESCOMPANY5416BIRCHMANAVENUEFORTWORTH</v>
      </c>
    </row>
    <row r="235" spans="1:17" x14ac:dyDescent="0.25">
      <c r="A235" s="29"/>
      <c r="B235" s="29"/>
      <c r="C235" s="94" t="s">
        <v>1699</v>
      </c>
      <c r="D235" s="93" t="s">
        <v>1700</v>
      </c>
      <c r="E235" s="29"/>
      <c r="F235" s="93" t="s">
        <v>1265</v>
      </c>
      <c r="G235" s="93" t="s">
        <v>84</v>
      </c>
      <c r="H235" s="93">
        <v>88260</v>
      </c>
      <c r="I235" s="93" t="s">
        <v>62</v>
      </c>
      <c r="J235" s="29"/>
      <c r="K235" s="110">
        <v>2</v>
      </c>
      <c r="L235" s="110">
        <v>3</v>
      </c>
      <c r="M235" s="110">
        <v>46172</v>
      </c>
      <c r="N235" s="110">
        <v>2318</v>
      </c>
      <c r="O235" s="29" t="s">
        <v>4386</v>
      </c>
      <c r="P235" s="126">
        <v>233</v>
      </c>
      <c r="Q235" t="str">
        <f t="shared" si="3"/>
        <v>JPHOILPRODUCERSDBAJIMMYPHODGEPOBOX565LOVINGTON</v>
      </c>
    </row>
    <row r="236" spans="1:17" x14ac:dyDescent="0.25">
      <c r="A236" s="29"/>
      <c r="B236" s="29"/>
      <c r="C236" s="94" t="s">
        <v>1706</v>
      </c>
      <c r="D236" s="93" t="s">
        <v>1707</v>
      </c>
      <c r="E236" s="29"/>
      <c r="F236" s="93" t="s">
        <v>1100</v>
      </c>
      <c r="G236" s="93" t="s">
        <v>80</v>
      </c>
      <c r="H236" s="93">
        <v>79408</v>
      </c>
      <c r="I236" s="93" t="s">
        <v>62</v>
      </c>
      <c r="J236" s="29"/>
      <c r="K236" s="110">
        <v>0</v>
      </c>
      <c r="L236" s="110">
        <v>8</v>
      </c>
      <c r="M236" s="110">
        <v>130302</v>
      </c>
      <c r="N236" s="110">
        <v>11092</v>
      </c>
      <c r="O236" s="29" t="s">
        <v>4386</v>
      </c>
      <c r="P236" s="126">
        <v>234</v>
      </c>
      <c r="Q236" t="str">
        <f t="shared" si="3"/>
        <v>JRCONEOPERATINGLLCPOBOX10217LUBBOCK</v>
      </c>
    </row>
    <row r="237" spans="1:17" x14ac:dyDescent="0.25">
      <c r="A237" s="29"/>
      <c r="B237" s="29"/>
      <c r="C237" s="94" t="s">
        <v>1708</v>
      </c>
      <c r="D237" s="93" t="s">
        <v>1709</v>
      </c>
      <c r="E237" s="29"/>
      <c r="F237" s="93" t="s">
        <v>83</v>
      </c>
      <c r="G237" s="93" t="s">
        <v>84</v>
      </c>
      <c r="H237" s="93">
        <v>88211</v>
      </c>
      <c r="I237" s="93" t="s">
        <v>62</v>
      </c>
      <c r="J237" s="29"/>
      <c r="K237" s="110">
        <v>1</v>
      </c>
      <c r="L237" s="110">
        <v>26</v>
      </c>
      <c r="M237" s="110">
        <v>12171</v>
      </c>
      <c r="N237" s="110">
        <v>13309</v>
      </c>
      <c r="O237" s="29" t="s">
        <v>4386</v>
      </c>
      <c r="P237" s="126">
        <v>235</v>
      </c>
      <c r="Q237" t="str">
        <f t="shared" si="3"/>
        <v>JUDAHOILLLCPOBOX568ARTESIA</v>
      </c>
    </row>
    <row r="238" spans="1:17" x14ac:dyDescent="0.25">
      <c r="A238" s="29"/>
      <c r="B238" s="29"/>
      <c r="C238" s="112" t="s">
        <v>4499</v>
      </c>
      <c r="D238" s="100" t="s">
        <v>1715</v>
      </c>
      <c r="E238" s="29"/>
      <c r="F238" s="93" t="s">
        <v>88</v>
      </c>
      <c r="G238" s="93" t="s">
        <v>80</v>
      </c>
      <c r="H238" s="93">
        <v>76109</v>
      </c>
      <c r="I238" s="93" t="s">
        <v>62</v>
      </c>
      <c r="J238" s="29"/>
      <c r="K238" s="110">
        <v>7</v>
      </c>
      <c r="L238" s="110">
        <v>7</v>
      </c>
      <c r="M238" s="110">
        <v>68173</v>
      </c>
      <c r="N238" s="110">
        <v>1993</v>
      </c>
      <c r="O238" s="29" t="s">
        <v>4386</v>
      </c>
      <c r="P238" s="126">
        <v>236</v>
      </c>
      <c r="Q238" t="str">
        <f t="shared" si="3"/>
        <v>JUNIPERRESOURCESEXPLORATIONCOMPANYLLC5128APACHEPLUMEROADFORTWORTH</v>
      </c>
    </row>
    <row r="239" spans="1:17" x14ac:dyDescent="0.25">
      <c r="A239" s="29"/>
      <c r="B239" s="29" t="s">
        <v>4472</v>
      </c>
      <c r="C239" s="92" t="s">
        <v>1720</v>
      </c>
      <c r="D239" s="100" t="s">
        <v>1721</v>
      </c>
      <c r="E239" s="29"/>
      <c r="F239" s="100" t="s">
        <v>1336</v>
      </c>
      <c r="G239" s="100" t="s">
        <v>80</v>
      </c>
      <c r="H239" s="100">
        <v>75001</v>
      </c>
      <c r="I239" s="93" t="s">
        <v>62</v>
      </c>
      <c r="J239" s="29"/>
      <c r="K239" s="110">
        <v>0</v>
      </c>
      <c r="L239" s="110">
        <v>0</v>
      </c>
      <c r="M239" s="110">
        <v>0</v>
      </c>
      <c r="N239" s="110">
        <v>0</v>
      </c>
      <c r="O239" s="29" t="s">
        <v>4385</v>
      </c>
      <c r="P239" s="126">
        <v>237</v>
      </c>
      <c r="Q239" t="str">
        <f t="shared" si="3"/>
        <v>JWOPERATINGCOMPANY15505WRIGHTBROTHERSDRIVEADDISON</v>
      </c>
    </row>
    <row r="240" spans="1:17" x14ac:dyDescent="0.25">
      <c r="A240" s="29"/>
      <c r="B240" s="29"/>
      <c r="C240" s="94" t="s">
        <v>1729</v>
      </c>
      <c r="D240" s="93" t="s">
        <v>1730</v>
      </c>
      <c r="E240" s="29"/>
      <c r="F240" s="93" t="s">
        <v>60</v>
      </c>
      <c r="G240" s="93" t="s">
        <v>61</v>
      </c>
      <c r="H240" s="93">
        <v>80202</v>
      </c>
      <c r="I240" s="93" t="s">
        <v>62</v>
      </c>
      <c r="J240" s="29"/>
      <c r="K240" s="110">
        <v>27</v>
      </c>
      <c r="L240" s="110">
        <v>49</v>
      </c>
      <c r="M240" s="110">
        <v>25873</v>
      </c>
      <c r="N240" s="110">
        <v>37255</v>
      </c>
      <c r="O240" s="29" t="s">
        <v>4386</v>
      </c>
      <c r="P240" s="126">
        <v>238</v>
      </c>
      <c r="Q240" t="str">
        <f t="shared" si="3"/>
        <v>KPKAUFFMANCOMPANYINC1675BROADWAYDENVER</v>
      </c>
    </row>
    <row r="241" spans="1:17" x14ac:dyDescent="0.25">
      <c r="A241" s="29"/>
      <c r="B241" s="29"/>
      <c r="C241" s="94" t="s">
        <v>1739</v>
      </c>
      <c r="D241" s="93" t="s">
        <v>1740</v>
      </c>
      <c r="E241" s="29"/>
      <c r="F241" s="93" t="s">
        <v>183</v>
      </c>
      <c r="G241" s="93" t="s">
        <v>184</v>
      </c>
      <c r="H241" s="93">
        <v>74121</v>
      </c>
      <c r="I241" s="93" t="s">
        <v>62</v>
      </c>
      <c r="J241" s="29"/>
      <c r="K241" s="110">
        <v>25</v>
      </c>
      <c r="L241" s="110">
        <v>27</v>
      </c>
      <c r="M241" s="110">
        <v>9327277</v>
      </c>
      <c r="N241" s="110">
        <v>3812204</v>
      </c>
      <c r="O241" s="29" t="s">
        <v>4386</v>
      </c>
      <c r="P241" s="126">
        <v>239</v>
      </c>
      <c r="Q241" t="str">
        <f t="shared" si="3"/>
        <v>KAISERFRANCISOILCOPOBOX21468TULSA</v>
      </c>
    </row>
    <row r="242" spans="1:17" x14ac:dyDescent="0.25">
      <c r="A242" s="29"/>
      <c r="B242" s="29"/>
      <c r="C242" s="94" t="s">
        <v>1749</v>
      </c>
      <c r="D242" s="93" t="s">
        <v>1750</v>
      </c>
      <c r="E242" s="29"/>
      <c r="F242" s="93" t="s">
        <v>1751</v>
      </c>
      <c r="G242" s="93" t="s">
        <v>80</v>
      </c>
      <c r="H242" s="93">
        <v>76906</v>
      </c>
      <c r="I242" s="93" t="s">
        <v>62</v>
      </c>
      <c r="J242" s="29"/>
      <c r="K242" s="110">
        <v>0</v>
      </c>
      <c r="L242" s="110">
        <v>5</v>
      </c>
      <c r="M242" s="110">
        <v>0</v>
      </c>
      <c r="N242" s="110">
        <v>1253</v>
      </c>
      <c r="O242" s="29" t="s">
        <v>4386</v>
      </c>
      <c r="P242" s="126">
        <v>240</v>
      </c>
      <c r="Q242" t="str">
        <f t="shared" si="3"/>
        <v>KASHOPERATINGLLCPOBOX62784SANANGELO</v>
      </c>
    </row>
    <row r="243" spans="1:17" x14ac:dyDescent="0.25">
      <c r="A243" s="29"/>
      <c r="B243" s="29" t="s">
        <v>4472</v>
      </c>
      <c r="C243" s="92" t="s">
        <v>1752</v>
      </c>
      <c r="D243" s="100" t="s">
        <v>1753</v>
      </c>
      <c r="E243" s="29"/>
      <c r="F243" s="93" t="s">
        <v>183</v>
      </c>
      <c r="G243" s="93" t="s">
        <v>184</v>
      </c>
      <c r="H243" s="93">
        <v>74131</v>
      </c>
      <c r="I243" s="93" t="s">
        <v>62</v>
      </c>
      <c r="J243" s="29"/>
      <c r="K243" s="110">
        <v>0</v>
      </c>
      <c r="L243" s="110">
        <v>0</v>
      </c>
      <c r="M243" s="110">
        <v>0</v>
      </c>
      <c r="N243" s="110">
        <v>0</v>
      </c>
      <c r="O243" s="29" t="s">
        <v>4385</v>
      </c>
      <c r="P243" s="126">
        <v>241</v>
      </c>
      <c r="Q243" t="str">
        <f t="shared" si="3"/>
        <v>KCICOMPRESSION6105W68THSTTULSA</v>
      </c>
    </row>
    <row r="244" spans="1:17" x14ac:dyDescent="0.25">
      <c r="A244" s="29"/>
      <c r="B244" s="29" t="s">
        <v>4472</v>
      </c>
      <c r="C244" s="92" t="s">
        <v>1767</v>
      </c>
      <c r="D244" s="100" t="s">
        <v>1768</v>
      </c>
      <c r="E244" s="29"/>
      <c r="F244" s="93" t="s">
        <v>183</v>
      </c>
      <c r="G244" s="93" t="s">
        <v>184</v>
      </c>
      <c r="H244" s="93">
        <v>74136</v>
      </c>
      <c r="I244" s="93" t="s">
        <v>62</v>
      </c>
      <c r="J244" s="29"/>
      <c r="K244" s="110">
        <v>0</v>
      </c>
      <c r="L244" s="110">
        <v>0</v>
      </c>
      <c r="M244" s="110">
        <v>0</v>
      </c>
      <c r="N244" s="110">
        <v>0</v>
      </c>
      <c r="O244" s="29" t="s">
        <v>4385</v>
      </c>
      <c r="P244" s="126">
        <v>242</v>
      </c>
      <c r="Q244" t="str">
        <f t="shared" si="3"/>
        <v>KCSMEDALLIONRESOURCES7130SLEWISAVETULSA</v>
      </c>
    </row>
    <row r="245" spans="1:17" x14ac:dyDescent="0.25">
      <c r="A245" s="29"/>
      <c r="B245" s="29"/>
      <c r="C245" s="94" t="s">
        <v>1774</v>
      </c>
      <c r="D245" s="93" t="s">
        <v>1775</v>
      </c>
      <c r="E245" s="29"/>
      <c r="F245" s="93" t="s">
        <v>1776</v>
      </c>
      <c r="G245" s="93" t="s">
        <v>80</v>
      </c>
      <c r="H245" s="93">
        <v>77450</v>
      </c>
      <c r="I245" s="93" t="s">
        <v>62</v>
      </c>
      <c r="J245" s="29"/>
      <c r="K245" s="110">
        <v>1</v>
      </c>
      <c r="L245" s="110">
        <v>12</v>
      </c>
      <c r="M245" s="110">
        <v>111194</v>
      </c>
      <c r="N245" s="110">
        <v>11562</v>
      </c>
      <c r="O245" s="29" t="s">
        <v>4386</v>
      </c>
      <c r="P245" s="126">
        <v>243</v>
      </c>
      <c r="Q245" t="str">
        <f t="shared" si="3"/>
        <v>KEMVENTURESLP22136WESTHEIMERPKWYKATY</v>
      </c>
    </row>
    <row r="246" spans="1:17" x14ac:dyDescent="0.25">
      <c r="A246" s="29"/>
      <c r="B246" s="29" t="s">
        <v>4472</v>
      </c>
      <c r="C246" s="92" t="s">
        <v>1777</v>
      </c>
      <c r="D246" s="100" t="s">
        <v>1778</v>
      </c>
      <c r="E246" s="29"/>
      <c r="F246" s="93" t="s">
        <v>153</v>
      </c>
      <c r="G246" s="93" t="s">
        <v>80</v>
      </c>
      <c r="H246" s="93">
        <v>77060</v>
      </c>
      <c r="I246" s="93" t="s">
        <v>62</v>
      </c>
      <c r="J246" s="29"/>
      <c r="K246" s="110">
        <v>0</v>
      </c>
      <c r="L246" s="110">
        <v>0</v>
      </c>
      <c r="M246" s="110">
        <v>0</v>
      </c>
      <c r="N246" s="110">
        <v>0</v>
      </c>
      <c r="O246" s="29" t="s">
        <v>4385</v>
      </c>
      <c r="P246" s="126">
        <v>244</v>
      </c>
      <c r="Q246" t="str">
        <f t="shared" si="3"/>
        <v>KERRMCGEEOIL&amp;GASONSHORELLCSUBSIDIARYOFANADARKO306WWALLSTMIDLAND</v>
      </c>
    </row>
    <row r="247" spans="1:17" x14ac:dyDescent="0.25">
      <c r="A247" s="29"/>
      <c r="B247" s="29"/>
      <c r="C247" s="94" t="s">
        <v>1779</v>
      </c>
      <c r="D247" s="93" t="s">
        <v>1780</v>
      </c>
      <c r="E247" s="29"/>
      <c r="F247" s="93" t="s">
        <v>1228</v>
      </c>
      <c r="G247" s="93" t="s">
        <v>80</v>
      </c>
      <c r="H247" s="93">
        <v>78624</v>
      </c>
      <c r="I247" s="93" t="s">
        <v>62</v>
      </c>
      <c r="J247" s="29"/>
      <c r="K247" s="110">
        <v>0</v>
      </c>
      <c r="L247" s="110">
        <v>13</v>
      </c>
      <c r="M247" s="110">
        <v>0</v>
      </c>
      <c r="N247" s="110">
        <v>3730</v>
      </c>
      <c r="O247" s="29" t="s">
        <v>4386</v>
      </c>
      <c r="P247" s="126">
        <v>245</v>
      </c>
      <c r="Q247" t="str">
        <f t="shared" si="3"/>
        <v>KERSEY&amp;COMPANYPOBOX1248FREDERICKSBURG</v>
      </c>
    </row>
    <row r="248" spans="1:17" x14ac:dyDescent="0.25">
      <c r="A248" s="29"/>
      <c r="B248" s="29"/>
      <c r="C248" s="94" t="s">
        <v>1786</v>
      </c>
      <c r="D248" s="96" t="s">
        <v>1787</v>
      </c>
      <c r="E248" s="29"/>
      <c r="F248" s="96" t="s">
        <v>153</v>
      </c>
      <c r="G248" s="96" t="s">
        <v>80</v>
      </c>
      <c r="H248" s="96">
        <v>79702</v>
      </c>
      <c r="I248" s="93" t="s">
        <v>62</v>
      </c>
      <c r="J248" s="29"/>
      <c r="K248" s="110">
        <v>0</v>
      </c>
      <c r="L248" s="110">
        <v>13</v>
      </c>
      <c r="M248" s="110">
        <v>22361</v>
      </c>
      <c r="N248" s="110">
        <v>6950</v>
      </c>
      <c r="O248" s="29" t="s">
        <v>4386</v>
      </c>
      <c r="P248" s="126">
        <v>246</v>
      </c>
      <c r="Q248" t="str">
        <f t="shared" si="3"/>
        <v>KEVINOBUTLER&amp;ASSOCINCPOBOX1171MIDLAND</v>
      </c>
    </row>
    <row r="249" spans="1:17" x14ac:dyDescent="0.25">
      <c r="A249" s="29"/>
      <c r="B249" s="29"/>
      <c r="C249" s="94" t="s">
        <v>1793</v>
      </c>
      <c r="D249" s="111" t="s">
        <v>1794</v>
      </c>
      <c r="E249" s="29"/>
      <c r="F249" s="111" t="s">
        <v>123</v>
      </c>
      <c r="G249" s="111" t="s">
        <v>84</v>
      </c>
      <c r="H249" s="111">
        <v>87499</v>
      </c>
      <c r="I249" s="93" t="s">
        <v>62</v>
      </c>
      <c r="J249" s="29"/>
      <c r="K249" s="110">
        <v>0</v>
      </c>
      <c r="L249" s="110">
        <v>1</v>
      </c>
      <c r="M249" s="110">
        <v>0</v>
      </c>
      <c r="N249" s="110">
        <v>507</v>
      </c>
      <c r="O249" s="29" t="s">
        <v>4386</v>
      </c>
      <c r="P249" s="126">
        <v>247</v>
      </c>
      <c r="Q249" t="str">
        <f t="shared" si="3"/>
        <v>KEYSTONEENERGYLLCPOBOX962FARMINGTON</v>
      </c>
    </row>
    <row r="250" spans="1:17" x14ac:dyDescent="0.25">
      <c r="A250" s="29"/>
      <c r="B250" s="29"/>
      <c r="C250" s="94" t="s">
        <v>1799</v>
      </c>
      <c r="D250" s="111" t="s">
        <v>1800</v>
      </c>
      <c r="E250" s="29"/>
      <c r="F250" s="111" t="s">
        <v>1801</v>
      </c>
      <c r="G250" s="111" t="s">
        <v>80</v>
      </c>
      <c r="H250" s="111">
        <v>76102</v>
      </c>
      <c r="I250" s="93" t="s">
        <v>62</v>
      </c>
      <c r="J250" s="29"/>
      <c r="K250" s="110">
        <v>6</v>
      </c>
      <c r="L250" s="110">
        <v>17</v>
      </c>
      <c r="M250" s="110">
        <v>290431</v>
      </c>
      <c r="N250" s="110">
        <v>819</v>
      </c>
      <c r="O250" s="29" t="s">
        <v>4386</v>
      </c>
      <c r="P250" s="126">
        <v>248</v>
      </c>
      <c r="Q250" t="str">
        <f t="shared" si="3"/>
        <v>KIMBELLOILCOOFTEXAS777TAYLORSTREETFTWORTH</v>
      </c>
    </row>
    <row r="251" spans="1:17" x14ac:dyDescent="0.25">
      <c r="A251" s="29"/>
      <c r="B251" s="29"/>
      <c r="C251" s="94" t="s">
        <v>1807</v>
      </c>
      <c r="D251" s="111" t="s">
        <v>1808</v>
      </c>
      <c r="E251" s="29"/>
      <c r="F251" s="111" t="s">
        <v>1809</v>
      </c>
      <c r="G251" s="111" t="s">
        <v>80</v>
      </c>
      <c r="H251" s="111">
        <v>79745</v>
      </c>
      <c r="I251" s="93" t="s">
        <v>62</v>
      </c>
      <c r="J251" s="29"/>
      <c r="K251" s="110">
        <v>0</v>
      </c>
      <c r="L251" s="110">
        <v>1</v>
      </c>
      <c r="M251" s="110">
        <v>0</v>
      </c>
      <c r="N251" s="110">
        <v>5</v>
      </c>
      <c r="O251" s="29" t="s">
        <v>4386</v>
      </c>
      <c r="P251" s="126">
        <v>249</v>
      </c>
      <c r="Q251" t="str">
        <f t="shared" si="3"/>
        <v>KIMLAROILCOMPANY824SOAVENUECKERMIT</v>
      </c>
    </row>
    <row r="252" spans="1:17" x14ac:dyDescent="0.25">
      <c r="A252" s="29"/>
      <c r="B252" s="29"/>
      <c r="C252" s="94" t="s">
        <v>1817</v>
      </c>
      <c r="D252" s="111" t="s">
        <v>1818</v>
      </c>
      <c r="E252" s="29"/>
      <c r="F252" s="111" t="s">
        <v>344</v>
      </c>
      <c r="G252" s="111" t="s">
        <v>80</v>
      </c>
      <c r="H252" s="111">
        <v>79714</v>
      </c>
      <c r="I252" s="93" t="s">
        <v>62</v>
      </c>
      <c r="J252" s="29"/>
      <c r="K252" s="110">
        <v>3</v>
      </c>
      <c r="L252" s="110">
        <v>2</v>
      </c>
      <c r="M252" s="110">
        <v>22250</v>
      </c>
      <c r="N252" s="110">
        <v>1992</v>
      </c>
      <c r="O252" s="29" t="s">
        <v>4386</v>
      </c>
      <c r="P252" s="126">
        <v>250</v>
      </c>
      <c r="Q252" t="str">
        <f t="shared" si="3"/>
        <v>KINNEYINCORPORATEDPOBOX809ANDREWS</v>
      </c>
    </row>
    <row r="253" spans="1:17" x14ac:dyDescent="0.25">
      <c r="A253" s="29"/>
      <c r="B253" s="29"/>
      <c r="C253" s="94" t="s">
        <v>1829</v>
      </c>
      <c r="D253" s="111" t="s">
        <v>1830</v>
      </c>
      <c r="E253" s="29"/>
      <c r="F253" s="111" t="s">
        <v>153</v>
      </c>
      <c r="G253" s="111" t="s">
        <v>80</v>
      </c>
      <c r="H253" s="111">
        <v>79702</v>
      </c>
      <c r="I253" s="93" t="s">
        <v>62</v>
      </c>
      <c r="J253" s="29"/>
      <c r="K253" s="110">
        <v>0</v>
      </c>
      <c r="L253" s="110">
        <v>1</v>
      </c>
      <c r="M253" s="110">
        <v>11495</v>
      </c>
      <c r="N253" s="110">
        <v>2170</v>
      </c>
      <c r="O253" s="29" t="s">
        <v>4386</v>
      </c>
      <c r="P253" s="126">
        <v>251</v>
      </c>
      <c r="Q253" t="str">
        <f t="shared" si="3"/>
        <v>KNOXINDUSTRIESINCPOBOX3023MIDLAND</v>
      </c>
    </row>
    <row r="254" spans="1:17" x14ac:dyDescent="0.25">
      <c r="A254" s="29"/>
      <c r="B254" s="29" t="s">
        <v>4472</v>
      </c>
      <c r="C254" s="92" t="s">
        <v>1838</v>
      </c>
      <c r="D254" s="100" t="s">
        <v>1839</v>
      </c>
      <c r="E254" s="29"/>
      <c r="F254" s="93" t="s">
        <v>362</v>
      </c>
      <c r="G254" s="93" t="s">
        <v>61</v>
      </c>
      <c r="H254" s="93">
        <v>80112</v>
      </c>
      <c r="I254" s="93" t="s">
        <v>62</v>
      </c>
      <c r="J254" s="29"/>
      <c r="K254" s="110">
        <v>0</v>
      </c>
      <c r="L254" s="110">
        <v>0</v>
      </c>
      <c r="M254" s="110">
        <v>0</v>
      </c>
      <c r="N254" s="110">
        <v>0</v>
      </c>
      <c r="O254" s="29" t="s">
        <v>4385</v>
      </c>
      <c r="P254" s="126">
        <v>252</v>
      </c>
      <c r="Q254" t="str">
        <f t="shared" si="3"/>
        <v>KOCHEXPLORATIONCOMPANYLLC9777MOUNTPYRAMIDCOURTENGLEWOOD</v>
      </c>
    </row>
    <row r="255" spans="1:17" x14ac:dyDescent="0.25">
      <c r="A255" s="29"/>
      <c r="B255" s="29"/>
      <c r="C255" s="94" t="s">
        <v>1840</v>
      </c>
      <c r="D255" s="111" t="s">
        <v>1841</v>
      </c>
      <c r="E255" s="29"/>
      <c r="F255" s="111" t="s">
        <v>1842</v>
      </c>
      <c r="G255" s="111" t="s">
        <v>184</v>
      </c>
      <c r="H255" s="111">
        <v>73534</v>
      </c>
      <c r="I255" s="93" t="s">
        <v>62</v>
      </c>
      <c r="J255" s="29"/>
      <c r="K255" s="110">
        <v>1</v>
      </c>
      <c r="L255" s="110">
        <v>11</v>
      </c>
      <c r="M255" s="110">
        <v>24798</v>
      </c>
      <c r="N255" s="110">
        <v>12452</v>
      </c>
      <c r="O255" s="29" t="s">
        <v>4386</v>
      </c>
      <c r="P255" s="126">
        <v>253</v>
      </c>
      <c r="Q255" t="str">
        <f t="shared" si="3"/>
        <v>LEJONESOPERATINGINCPOBOX1185DUNCAN</v>
      </c>
    </row>
    <row r="256" spans="1:17" x14ac:dyDescent="0.25">
      <c r="A256" s="29"/>
      <c r="B256" s="29"/>
      <c r="C256" s="94" t="s">
        <v>1849</v>
      </c>
      <c r="D256" s="111" t="s">
        <v>1850</v>
      </c>
      <c r="E256" s="29"/>
      <c r="F256" s="111" t="s">
        <v>378</v>
      </c>
      <c r="G256" s="111" t="s">
        <v>80</v>
      </c>
      <c r="H256" s="111">
        <v>75206</v>
      </c>
      <c r="I256" s="93" t="s">
        <v>62</v>
      </c>
      <c r="J256" s="29"/>
      <c r="K256" s="110">
        <v>0</v>
      </c>
      <c r="L256" s="110">
        <v>2</v>
      </c>
      <c r="M256" s="110">
        <v>21971</v>
      </c>
      <c r="N256" s="110">
        <v>0</v>
      </c>
      <c r="O256" s="29" t="s">
        <v>4386</v>
      </c>
      <c r="P256" s="126">
        <v>254</v>
      </c>
      <c r="Q256" t="str">
        <f t="shared" si="3"/>
        <v>LAPLATAGATHERINGSYSTEMINC#8524925GREENVILLEAVEDALLAS</v>
      </c>
    </row>
    <row r="257" spans="1:17" x14ac:dyDescent="0.25">
      <c r="A257" s="29"/>
      <c r="B257" s="29"/>
      <c r="C257" s="94" t="s">
        <v>1856</v>
      </c>
      <c r="D257" s="111" t="s">
        <v>1857</v>
      </c>
      <c r="E257" s="29"/>
      <c r="F257" s="111" t="s">
        <v>112</v>
      </c>
      <c r="G257" s="111" t="s">
        <v>80</v>
      </c>
      <c r="H257" s="111">
        <v>77042</v>
      </c>
      <c r="I257" s="93" t="s">
        <v>62</v>
      </c>
      <c r="J257" s="29"/>
      <c r="K257" s="110">
        <v>2</v>
      </c>
      <c r="L257" s="110">
        <v>19</v>
      </c>
      <c r="M257" s="110">
        <v>0</v>
      </c>
      <c r="N257" s="110">
        <v>3665</v>
      </c>
      <c r="O257" s="29" t="s">
        <v>4386</v>
      </c>
      <c r="P257" s="126">
        <v>255</v>
      </c>
      <c r="Q257" t="str">
        <f t="shared" si="3"/>
        <v>LANMA'SOILANDGASLLC3505WSAMHOUSTONPARKWAYSOUTHHOUSTON</v>
      </c>
    </row>
    <row r="258" spans="1:17" x14ac:dyDescent="0.25">
      <c r="A258" s="29" t="s">
        <v>4500</v>
      </c>
      <c r="B258" s="29" t="s">
        <v>4501</v>
      </c>
      <c r="C258" s="113" t="s">
        <v>4502</v>
      </c>
      <c r="D258" s="111" t="s">
        <v>1865</v>
      </c>
      <c r="E258" s="29"/>
      <c r="F258" s="111" t="s">
        <v>1866</v>
      </c>
      <c r="G258" s="111" t="s">
        <v>80</v>
      </c>
      <c r="H258" s="111">
        <v>77474</v>
      </c>
      <c r="I258" s="93" t="s">
        <v>62</v>
      </c>
      <c r="J258" s="29"/>
      <c r="K258" s="114">
        <v>7</v>
      </c>
      <c r="L258" s="114">
        <v>14</v>
      </c>
      <c r="M258" s="114">
        <v>11362</v>
      </c>
      <c r="N258" s="114">
        <v>2277</v>
      </c>
      <c r="O258" s="29" t="s">
        <v>4386</v>
      </c>
      <c r="P258" s="126">
        <v>256</v>
      </c>
      <c r="Q258" t="str">
        <f t="shared" si="3"/>
        <v>LANEXCOINCDBALANEXCONEWMEXICO107MAINSTREETSEALY</v>
      </c>
    </row>
    <row r="259" spans="1:17" x14ac:dyDescent="0.25">
      <c r="A259" s="29"/>
      <c r="B259" s="29"/>
      <c r="C259" s="94" t="s">
        <v>1867</v>
      </c>
      <c r="D259" s="111" t="s">
        <v>1868</v>
      </c>
      <c r="E259" s="29"/>
      <c r="F259" s="111" t="s">
        <v>1869</v>
      </c>
      <c r="G259" s="111" t="s">
        <v>265</v>
      </c>
      <c r="H259" s="111">
        <v>90210</v>
      </c>
      <c r="I259" s="93" t="s">
        <v>62</v>
      </c>
      <c r="J259" s="29"/>
      <c r="K259" s="110">
        <v>0</v>
      </c>
      <c r="L259" s="110">
        <v>2</v>
      </c>
      <c r="M259" s="110">
        <v>8534</v>
      </c>
      <c r="N259" s="110">
        <v>0</v>
      </c>
      <c r="O259" s="29" t="s">
        <v>4386</v>
      </c>
      <c r="P259" s="126">
        <v>257</v>
      </c>
      <c r="Q259" t="str">
        <f t="shared" si="3"/>
        <v>LAWRENCEWRITTER468NCAMDONDRIVEBEVERLYHILLS</v>
      </c>
    </row>
    <row r="260" spans="1:17" x14ac:dyDescent="0.25">
      <c r="A260" s="29"/>
      <c r="B260" s="29"/>
      <c r="C260" s="94" t="s">
        <v>1870</v>
      </c>
      <c r="D260" s="111" t="s">
        <v>1871</v>
      </c>
      <c r="E260" s="29"/>
      <c r="F260" s="111" t="s">
        <v>593</v>
      </c>
      <c r="G260" s="111" t="s">
        <v>84</v>
      </c>
      <c r="H260" s="111">
        <v>87410</v>
      </c>
      <c r="I260" s="93" t="s">
        <v>62</v>
      </c>
      <c r="J260" s="29"/>
      <c r="K260" s="110">
        <v>2</v>
      </c>
      <c r="L260" s="110">
        <v>1</v>
      </c>
      <c r="M260" s="110">
        <v>3895</v>
      </c>
      <c r="N260" s="110">
        <v>0</v>
      </c>
      <c r="O260" s="29" t="s">
        <v>4386</v>
      </c>
      <c r="P260" s="126">
        <v>258</v>
      </c>
      <c r="Q260" t="str">
        <f t="shared" ref="Q260:Q323" si="4">UPPER(SUBSTITUTE(SUBSTITUTE(SUBSTITUTE(SUBSTITUTE(C260&amp;D260&amp;F260," ",""),".",""),",",""),"-",""))</f>
        <v>LEEMCRANE125SOUTHPOLLARDAZTEC</v>
      </c>
    </row>
    <row r="261" spans="1:17" x14ac:dyDescent="0.25">
      <c r="A261" s="29"/>
      <c r="B261" s="29"/>
      <c r="C261" s="112" t="s">
        <v>4503</v>
      </c>
      <c r="D261" s="100" t="s">
        <v>1873</v>
      </c>
      <c r="E261" s="29"/>
      <c r="F261" s="93" t="s">
        <v>153</v>
      </c>
      <c r="G261" s="93" t="s">
        <v>80</v>
      </c>
      <c r="H261" s="93">
        <v>79702</v>
      </c>
      <c r="I261" s="93" t="s">
        <v>62</v>
      </c>
      <c r="J261" s="29"/>
      <c r="K261" s="110">
        <v>138</v>
      </c>
      <c r="L261" s="110">
        <v>639</v>
      </c>
      <c r="M261" s="110">
        <v>13445416</v>
      </c>
      <c r="N261" s="110">
        <v>4143249</v>
      </c>
      <c r="O261" s="29" t="s">
        <v>4386</v>
      </c>
      <c r="P261" s="126">
        <v>259</v>
      </c>
      <c r="Q261" t="str">
        <f t="shared" si="4"/>
        <v>LEGACYRESERVESOPERATINGLP303WWALLMIDLAND</v>
      </c>
    </row>
    <row r="262" spans="1:17" x14ac:dyDescent="0.25">
      <c r="A262" s="29"/>
      <c r="B262" s="29" t="s">
        <v>4472</v>
      </c>
      <c r="C262" s="92" t="s">
        <v>1884</v>
      </c>
      <c r="D262" s="100" t="s">
        <v>1885</v>
      </c>
      <c r="E262" s="29"/>
      <c r="F262" s="93" t="s">
        <v>88</v>
      </c>
      <c r="G262" s="93" t="s">
        <v>80</v>
      </c>
      <c r="H262" s="93">
        <v>76102</v>
      </c>
      <c r="I262" s="93" t="s">
        <v>62</v>
      </c>
      <c r="J262" s="29"/>
      <c r="K262" s="110">
        <v>0</v>
      </c>
      <c r="L262" s="110">
        <v>0</v>
      </c>
      <c r="M262" s="110">
        <v>0</v>
      </c>
      <c r="N262" s="110">
        <v>0</v>
      </c>
      <c r="O262" s="29" t="s">
        <v>4385</v>
      </c>
      <c r="P262" s="126">
        <v>260</v>
      </c>
      <c r="Q262" t="str">
        <f t="shared" si="4"/>
        <v>LEGENDNATURALGASIIILP777MAINSTREETFORTWORTH</v>
      </c>
    </row>
    <row r="263" spans="1:17" x14ac:dyDescent="0.25">
      <c r="A263" s="29"/>
      <c r="B263" s="29"/>
      <c r="C263" s="94" t="s">
        <v>1890</v>
      </c>
      <c r="D263" s="111" t="s">
        <v>1891</v>
      </c>
      <c r="E263" s="29"/>
      <c r="F263" s="111" t="s">
        <v>1265</v>
      </c>
      <c r="G263" s="111" t="s">
        <v>84</v>
      </c>
      <c r="H263" s="111">
        <v>88260</v>
      </c>
      <c r="I263" s="93" t="s">
        <v>62</v>
      </c>
      <c r="J263" s="29"/>
      <c r="K263" s="110">
        <v>0</v>
      </c>
      <c r="L263" s="110">
        <v>2</v>
      </c>
      <c r="M263" s="110">
        <v>0</v>
      </c>
      <c r="N263" s="110">
        <v>354</v>
      </c>
      <c r="O263" s="29" t="s">
        <v>4386</v>
      </c>
      <c r="P263" s="126">
        <v>261</v>
      </c>
      <c r="Q263" t="str">
        <f t="shared" si="4"/>
        <v>LG&amp;SOILCOMPANYLLCPOBOX1081LOVINGTON</v>
      </c>
    </row>
    <row r="264" spans="1:17" x14ac:dyDescent="0.25">
      <c r="A264" s="29"/>
      <c r="B264" s="29"/>
      <c r="C264" s="94" t="s">
        <v>1892</v>
      </c>
      <c r="D264" s="111" t="s">
        <v>1893</v>
      </c>
      <c r="E264" s="29"/>
      <c r="F264" s="111" t="s">
        <v>378</v>
      </c>
      <c r="G264" s="111" t="s">
        <v>80</v>
      </c>
      <c r="H264" s="111">
        <v>75205</v>
      </c>
      <c r="I264" s="93" t="s">
        <v>62</v>
      </c>
      <c r="J264" s="29"/>
      <c r="K264" s="110">
        <v>20</v>
      </c>
      <c r="L264" s="110">
        <v>277</v>
      </c>
      <c r="M264" s="110">
        <v>137839</v>
      </c>
      <c r="N264" s="110">
        <v>249639</v>
      </c>
      <c r="O264" s="29" t="s">
        <v>4386</v>
      </c>
      <c r="P264" s="126">
        <v>262</v>
      </c>
      <c r="Q264" t="str">
        <f t="shared" si="4"/>
        <v>LHOPERATINGLLC4809COLEAVEDALLAS</v>
      </c>
    </row>
    <row r="265" spans="1:17" x14ac:dyDescent="0.25">
      <c r="A265" s="29"/>
      <c r="B265" s="29"/>
      <c r="C265" s="94" t="s">
        <v>1898</v>
      </c>
      <c r="D265" s="101" t="s">
        <v>1899</v>
      </c>
      <c r="E265" s="29"/>
      <c r="F265" s="93" t="s">
        <v>112</v>
      </c>
      <c r="G265" s="93" t="s">
        <v>80</v>
      </c>
      <c r="H265" s="93">
        <v>77002</v>
      </c>
      <c r="I265" s="93" t="s">
        <v>62</v>
      </c>
      <c r="J265" s="29"/>
      <c r="K265" s="110">
        <v>110</v>
      </c>
      <c r="L265" s="110">
        <v>325</v>
      </c>
      <c r="M265" s="110">
        <v>6157659</v>
      </c>
      <c r="N265" s="110">
        <v>1294926</v>
      </c>
      <c r="O265" s="29" t="s">
        <v>4386</v>
      </c>
      <c r="P265" s="126">
        <v>263</v>
      </c>
      <c r="Q265" t="str">
        <f t="shared" si="4"/>
        <v>LIMEROCKRESOURCESIIALP1111BAGBYSTREETHOUSTON</v>
      </c>
    </row>
    <row r="266" spans="1:17" x14ac:dyDescent="0.25">
      <c r="A266" s="29"/>
      <c r="B266" s="29"/>
      <c r="C266" s="94" t="s">
        <v>1912</v>
      </c>
      <c r="D266" s="111" t="s">
        <v>1913</v>
      </c>
      <c r="E266" s="29"/>
      <c r="F266" s="111" t="s">
        <v>126</v>
      </c>
      <c r="G266" s="111" t="s">
        <v>80</v>
      </c>
      <c r="H266" s="111">
        <v>78703</v>
      </c>
      <c r="I266" s="93" t="s">
        <v>62</v>
      </c>
      <c r="J266" s="29"/>
      <c r="K266" s="110">
        <v>0</v>
      </c>
      <c r="L266" s="110">
        <v>4</v>
      </c>
      <c r="M266" s="110">
        <v>19595</v>
      </c>
      <c r="N266" s="110">
        <v>1656</v>
      </c>
      <c r="O266" s="29" t="s">
        <v>4386</v>
      </c>
      <c r="P266" s="126">
        <v>264</v>
      </c>
      <c r="Q266" t="str">
        <f t="shared" si="4"/>
        <v>LINDENMUTH&amp;ASSOCIATESINC510HEARNSTAUSTIN</v>
      </c>
    </row>
    <row r="267" spans="1:17" x14ac:dyDescent="0.25">
      <c r="A267" s="29"/>
      <c r="B267" s="29"/>
      <c r="C267" s="94" t="s">
        <v>1920</v>
      </c>
      <c r="D267" s="111" t="s">
        <v>1921</v>
      </c>
      <c r="E267" s="29"/>
      <c r="F267" s="111" t="s">
        <v>112</v>
      </c>
      <c r="G267" s="111" t="s">
        <v>80</v>
      </c>
      <c r="H267" s="111">
        <v>77063</v>
      </c>
      <c r="I267" s="93" t="s">
        <v>62</v>
      </c>
      <c r="J267" s="29"/>
      <c r="K267" s="110">
        <v>1</v>
      </c>
      <c r="L267" s="110">
        <v>21</v>
      </c>
      <c r="M267" s="110">
        <v>284677</v>
      </c>
      <c r="N267" s="110">
        <v>251</v>
      </c>
      <c r="O267" s="29" t="s">
        <v>4386</v>
      </c>
      <c r="P267" s="126">
        <v>265</v>
      </c>
      <c r="Q267" t="str">
        <f t="shared" si="4"/>
        <v>LIVELYEXPLORATIONCO2450FONDRENHOUSTON</v>
      </c>
    </row>
    <row r="268" spans="1:17" x14ac:dyDescent="0.25">
      <c r="A268" s="29"/>
      <c r="B268" s="29"/>
      <c r="C268" s="94" t="s">
        <v>1927</v>
      </c>
      <c r="D268" s="111" t="s">
        <v>1928</v>
      </c>
      <c r="E268" s="29"/>
      <c r="F268" s="111" t="s">
        <v>209</v>
      </c>
      <c r="G268" s="111" t="s">
        <v>84</v>
      </c>
      <c r="H268" s="111">
        <v>88202</v>
      </c>
      <c r="I268" s="93" t="s">
        <v>62</v>
      </c>
      <c r="J268" s="29"/>
      <c r="K268" s="110">
        <v>3</v>
      </c>
      <c r="L268" s="110">
        <v>117</v>
      </c>
      <c r="M268" s="110">
        <v>19160</v>
      </c>
      <c r="N268" s="110">
        <v>1698</v>
      </c>
      <c r="O268" s="29" t="s">
        <v>4386</v>
      </c>
      <c r="P268" s="126">
        <v>266</v>
      </c>
      <c r="Q268" t="str">
        <f t="shared" si="4"/>
        <v>LLJVENTURESLLCDBAMARKEROIL&amp;GASPOBOX3188ROSWELL</v>
      </c>
    </row>
    <row r="269" spans="1:17" x14ac:dyDescent="0.25">
      <c r="A269" s="29"/>
      <c r="B269" s="29" t="s">
        <v>4472</v>
      </c>
      <c r="C269" s="92" t="s">
        <v>1929</v>
      </c>
      <c r="D269" s="100" t="s">
        <v>1930</v>
      </c>
      <c r="E269" s="29"/>
      <c r="F269" s="93" t="s">
        <v>378</v>
      </c>
      <c r="G269" s="93" t="s">
        <v>80</v>
      </c>
      <c r="H269" s="93">
        <v>75201</v>
      </c>
      <c r="I269" s="93" t="s">
        <v>62</v>
      </c>
      <c r="J269" s="29"/>
      <c r="K269" s="110">
        <v>0</v>
      </c>
      <c r="L269" s="110">
        <v>0</v>
      </c>
      <c r="M269" s="110">
        <v>0</v>
      </c>
      <c r="N269" s="110">
        <v>0</v>
      </c>
      <c r="O269" s="29" t="s">
        <v>4385</v>
      </c>
      <c r="P269" s="126">
        <v>267</v>
      </c>
      <c r="Q269" t="str">
        <f t="shared" si="4"/>
        <v>LMTOUCHDOWNLLC2850NHARWOODDALLAS</v>
      </c>
    </row>
    <row r="270" spans="1:17" x14ac:dyDescent="0.25">
      <c r="A270" s="29"/>
      <c r="B270" s="29"/>
      <c r="C270" s="112" t="s">
        <v>4504</v>
      </c>
      <c r="D270" s="100" t="s">
        <v>1080</v>
      </c>
      <c r="E270" s="29"/>
      <c r="F270" s="93" t="s">
        <v>123</v>
      </c>
      <c r="G270" s="93" t="s">
        <v>84</v>
      </c>
      <c r="H270" s="93">
        <v>87401</v>
      </c>
      <c r="I270" s="93" t="s">
        <v>62</v>
      </c>
      <c r="J270" s="29"/>
      <c r="K270" s="110">
        <v>510</v>
      </c>
      <c r="L270" s="110">
        <v>657</v>
      </c>
      <c r="M270" s="110">
        <v>46005402</v>
      </c>
      <c r="N270" s="110">
        <v>1192550</v>
      </c>
      <c r="O270" s="29" t="s">
        <v>4386</v>
      </c>
      <c r="P270" s="126">
        <v>268</v>
      </c>
      <c r="Q270" t="str">
        <f t="shared" si="4"/>
        <v>LOGOSOPERATINGLLC2010AFTONPLACEFARMINGTON</v>
      </c>
    </row>
    <row r="271" spans="1:17" x14ac:dyDescent="0.25">
      <c r="A271" s="29"/>
      <c r="B271" s="29"/>
      <c r="C271" s="112" t="s">
        <v>4505</v>
      </c>
      <c r="D271" s="100" t="s">
        <v>1942</v>
      </c>
      <c r="E271" s="29"/>
      <c r="F271" s="93" t="s">
        <v>378</v>
      </c>
      <c r="G271" s="93" t="s">
        <v>80</v>
      </c>
      <c r="H271" s="93">
        <v>75225</v>
      </c>
      <c r="I271" s="93" t="s">
        <v>62</v>
      </c>
      <c r="J271" s="29"/>
      <c r="K271" s="110">
        <v>3</v>
      </c>
      <c r="L271" s="110">
        <v>54</v>
      </c>
      <c r="M271" s="110">
        <v>478286</v>
      </c>
      <c r="N271" s="110">
        <v>68853</v>
      </c>
      <c r="O271" s="29" t="s">
        <v>4386</v>
      </c>
      <c r="P271" s="126">
        <v>269</v>
      </c>
      <c r="Q271" t="str">
        <f t="shared" si="4"/>
        <v>LONGFELLOWENERGYLP8115PRESTONROADDALLAS</v>
      </c>
    </row>
    <row r="272" spans="1:17" x14ac:dyDescent="0.25">
      <c r="A272" s="29"/>
      <c r="B272" s="29" t="s">
        <v>4472</v>
      </c>
      <c r="C272" s="92" t="s">
        <v>1943</v>
      </c>
      <c r="D272" s="100" t="s">
        <v>964</v>
      </c>
      <c r="E272" s="29"/>
      <c r="F272" s="93" t="s">
        <v>378</v>
      </c>
      <c r="G272" s="93" t="s">
        <v>80</v>
      </c>
      <c r="H272" s="93">
        <v>75240</v>
      </c>
      <c r="I272" s="93" t="s">
        <v>62</v>
      </c>
      <c r="J272" s="29"/>
      <c r="K272" s="110">
        <v>0</v>
      </c>
      <c r="L272" s="110">
        <v>0</v>
      </c>
      <c r="M272" s="110">
        <v>0</v>
      </c>
      <c r="N272" s="110">
        <v>0</v>
      </c>
      <c r="O272" s="29" t="s">
        <v>4385</v>
      </c>
      <c r="P272" s="126">
        <v>270</v>
      </c>
      <c r="Q272" t="str">
        <f t="shared" si="4"/>
        <v>LONGWOODRBPIPLINELLC5400LBJFREEWAYDALLAS</v>
      </c>
    </row>
    <row r="273" spans="1:17" x14ac:dyDescent="0.25">
      <c r="A273" s="29"/>
      <c r="B273" s="29" t="s">
        <v>4472</v>
      </c>
      <c r="C273" s="92" t="s">
        <v>1944</v>
      </c>
      <c r="D273" s="100" t="s">
        <v>1945</v>
      </c>
      <c r="E273" s="29"/>
      <c r="F273" s="93" t="s">
        <v>83</v>
      </c>
      <c r="G273" s="93" t="s">
        <v>84</v>
      </c>
      <c r="H273" s="93">
        <v>88211</v>
      </c>
      <c r="I273" s="93" t="s">
        <v>62</v>
      </c>
      <c r="J273" s="29"/>
      <c r="K273" s="110">
        <v>0</v>
      </c>
      <c r="L273" s="110">
        <v>0</v>
      </c>
      <c r="M273" s="110">
        <v>0</v>
      </c>
      <c r="N273" s="110">
        <v>0</v>
      </c>
      <c r="O273" s="29" t="s">
        <v>4385</v>
      </c>
      <c r="P273" s="126">
        <v>271</v>
      </c>
      <c r="Q273" t="str">
        <f t="shared" si="4"/>
        <v>LUCIDARTESIACOMPANYPOBOX158ARTESIA</v>
      </c>
    </row>
    <row r="274" spans="1:17" x14ac:dyDescent="0.25">
      <c r="A274" s="29"/>
      <c r="B274" s="29" t="s">
        <v>4472</v>
      </c>
      <c r="C274" s="92" t="s">
        <v>1946</v>
      </c>
      <c r="D274" s="100" t="s">
        <v>1947</v>
      </c>
      <c r="E274" s="29"/>
      <c r="F274" s="93" t="s">
        <v>378</v>
      </c>
      <c r="G274" s="93" t="s">
        <v>80</v>
      </c>
      <c r="H274" s="93">
        <v>75201</v>
      </c>
      <c r="I274" s="93" t="s">
        <v>62</v>
      </c>
      <c r="J274" s="29"/>
      <c r="K274" s="110">
        <v>0</v>
      </c>
      <c r="L274" s="110">
        <v>0</v>
      </c>
      <c r="M274" s="110">
        <v>0</v>
      </c>
      <c r="N274" s="110">
        <v>0</v>
      </c>
      <c r="O274" s="29" t="s">
        <v>4385</v>
      </c>
      <c r="P274" s="126">
        <v>272</v>
      </c>
      <c r="Q274" t="str">
        <f t="shared" si="4"/>
        <v>LUCIDENERGYDELAWARELLC3100MCKINNONSTDALLAS</v>
      </c>
    </row>
    <row r="275" spans="1:17" x14ac:dyDescent="0.25">
      <c r="A275" s="29"/>
      <c r="B275" s="29"/>
      <c r="C275" s="94" t="s">
        <v>1953</v>
      </c>
      <c r="D275" s="111" t="s">
        <v>1954</v>
      </c>
      <c r="E275" s="29"/>
      <c r="F275" s="111" t="s">
        <v>378</v>
      </c>
      <c r="G275" s="111" t="s">
        <v>80</v>
      </c>
      <c r="H275" s="111">
        <v>75206</v>
      </c>
      <c r="I275" s="93" t="s">
        <v>62</v>
      </c>
      <c r="J275" s="29"/>
      <c r="K275" s="110">
        <v>3</v>
      </c>
      <c r="L275" s="110">
        <v>3</v>
      </c>
      <c r="M275" s="110">
        <v>20934</v>
      </c>
      <c r="N275" s="110">
        <v>39843</v>
      </c>
      <c r="O275" s="29" t="s">
        <v>4386</v>
      </c>
      <c r="P275" s="126">
        <v>273</v>
      </c>
      <c r="Q275" t="str">
        <f t="shared" si="4"/>
        <v>LYNXOPERATINGCOINC4849GREENVILLEAVEDALLAS</v>
      </c>
    </row>
    <row r="276" spans="1:17" x14ac:dyDescent="0.25">
      <c r="A276" s="29"/>
      <c r="B276" s="29"/>
      <c r="C276" s="94" t="s">
        <v>1960</v>
      </c>
      <c r="D276" s="111" t="s">
        <v>1961</v>
      </c>
      <c r="E276" s="29"/>
      <c r="F276" s="111" t="s">
        <v>206</v>
      </c>
      <c r="G276" s="111" t="s">
        <v>84</v>
      </c>
      <c r="H276" s="111" t="s">
        <v>1962</v>
      </c>
      <c r="I276" s="93" t="s">
        <v>62</v>
      </c>
      <c r="J276" s="29"/>
      <c r="K276" s="110">
        <v>0</v>
      </c>
      <c r="L276" s="110">
        <v>1</v>
      </c>
      <c r="M276" s="110">
        <v>0</v>
      </c>
      <c r="N276" s="110">
        <v>1131</v>
      </c>
      <c r="O276" s="29" t="s">
        <v>4386</v>
      </c>
      <c r="P276" s="126">
        <v>274</v>
      </c>
      <c r="Q276" t="str">
        <f t="shared" si="4"/>
        <v>LYNXPETROLEUMCONSULTANTSINCPOBOX1708HOBBS</v>
      </c>
    </row>
    <row r="277" spans="1:17" x14ac:dyDescent="0.25">
      <c r="A277" s="29"/>
      <c r="B277" s="29"/>
      <c r="C277" s="94" t="s">
        <v>1970</v>
      </c>
      <c r="D277" s="111" t="s">
        <v>1971</v>
      </c>
      <c r="E277" s="29"/>
      <c r="F277" s="111" t="s">
        <v>123</v>
      </c>
      <c r="G277" s="111" t="s">
        <v>84</v>
      </c>
      <c r="H277" s="111">
        <v>87499</v>
      </c>
      <c r="I277" s="93" t="s">
        <v>62</v>
      </c>
      <c r="J277" s="29"/>
      <c r="K277" s="110">
        <v>16</v>
      </c>
      <c r="L277" s="110">
        <v>59</v>
      </c>
      <c r="M277" s="110">
        <v>1419603</v>
      </c>
      <c r="N277" s="110">
        <v>1374</v>
      </c>
      <c r="O277" s="29" t="s">
        <v>4386</v>
      </c>
      <c r="P277" s="126">
        <v>275</v>
      </c>
      <c r="Q277" t="str">
        <f t="shared" si="4"/>
        <v>M&amp;GDRLGCOINCPOBOX5940FARMINGTON</v>
      </c>
    </row>
    <row r="278" spans="1:17" x14ac:dyDescent="0.25">
      <c r="A278" s="29"/>
      <c r="B278" s="29"/>
      <c r="C278" s="94" t="s">
        <v>1981</v>
      </c>
      <c r="D278" s="111" t="s">
        <v>1623</v>
      </c>
      <c r="E278" s="29"/>
      <c r="F278" s="111" t="s">
        <v>123</v>
      </c>
      <c r="G278" s="111" t="s">
        <v>84</v>
      </c>
      <c r="H278" s="111">
        <v>87402</v>
      </c>
      <c r="I278" s="93" t="s">
        <v>62</v>
      </c>
      <c r="J278" s="29"/>
      <c r="K278" s="110">
        <v>3</v>
      </c>
      <c r="L278" s="110">
        <v>34</v>
      </c>
      <c r="M278" s="110">
        <v>43646</v>
      </c>
      <c r="N278" s="110">
        <v>0</v>
      </c>
      <c r="O278" s="29" t="s">
        <v>4386</v>
      </c>
      <c r="P278" s="126">
        <v>276</v>
      </c>
      <c r="Q278" t="str">
        <f t="shared" si="4"/>
        <v>M&amp;MPRODUCTION&amp;OPERATION5006SANDALWOODDRFARMINGTON</v>
      </c>
    </row>
    <row r="279" spans="1:17" x14ac:dyDescent="0.25">
      <c r="A279" s="29"/>
      <c r="B279" s="29"/>
      <c r="C279" s="94" t="s">
        <v>1987</v>
      </c>
      <c r="D279" s="111" t="s">
        <v>1988</v>
      </c>
      <c r="E279" s="29"/>
      <c r="F279" s="111" t="s">
        <v>209</v>
      </c>
      <c r="G279" s="111" t="s">
        <v>84</v>
      </c>
      <c r="H279" s="111">
        <v>88203</v>
      </c>
      <c r="I279" s="93" t="s">
        <v>62</v>
      </c>
      <c r="J279" s="29"/>
      <c r="K279" s="110">
        <v>4</v>
      </c>
      <c r="L279" s="110">
        <v>38</v>
      </c>
      <c r="M279" s="110">
        <v>224264</v>
      </c>
      <c r="N279" s="110">
        <v>2180</v>
      </c>
      <c r="O279" s="29" t="s">
        <v>4386</v>
      </c>
      <c r="P279" s="126">
        <v>277</v>
      </c>
      <c r="Q279" t="str">
        <f t="shared" si="4"/>
        <v>MEWENTERPRISE300SOUTHKENTUCKYROSWELL</v>
      </c>
    </row>
    <row r="280" spans="1:17" x14ac:dyDescent="0.25">
      <c r="A280" s="29"/>
      <c r="B280" s="29"/>
      <c r="C280" s="94" t="s">
        <v>1996</v>
      </c>
      <c r="D280" s="111" t="s">
        <v>1687</v>
      </c>
      <c r="E280" s="29"/>
      <c r="F280" s="111" t="s">
        <v>1073</v>
      </c>
      <c r="G280" s="111" t="s">
        <v>84</v>
      </c>
      <c r="H280" s="111">
        <v>87125</v>
      </c>
      <c r="I280" s="93" t="s">
        <v>62</v>
      </c>
      <c r="J280" s="29"/>
      <c r="K280" s="110">
        <v>0</v>
      </c>
      <c r="L280" s="110">
        <v>5</v>
      </c>
      <c r="M280" s="110">
        <v>48181</v>
      </c>
      <c r="N280" s="110">
        <v>1511</v>
      </c>
      <c r="O280" s="29" t="s">
        <v>4386</v>
      </c>
      <c r="P280" s="126">
        <v>278</v>
      </c>
      <c r="Q280" t="str">
        <f t="shared" si="4"/>
        <v>MRSCHALKPOBOX25825ALBUQUERQUE</v>
      </c>
    </row>
    <row r="281" spans="1:17" x14ac:dyDescent="0.25">
      <c r="A281" s="29"/>
      <c r="B281" s="29"/>
      <c r="C281" s="94" t="s">
        <v>1997</v>
      </c>
      <c r="D281" s="111" t="s">
        <v>1998</v>
      </c>
      <c r="E281" s="29"/>
      <c r="F281" s="111" t="s">
        <v>1999</v>
      </c>
      <c r="G281" s="111" t="s">
        <v>80</v>
      </c>
      <c r="H281" s="111">
        <v>79902</v>
      </c>
      <c r="I281" s="93" t="s">
        <v>62</v>
      </c>
      <c r="J281" s="29"/>
      <c r="K281" s="110">
        <v>0</v>
      </c>
      <c r="L281" s="110">
        <v>3</v>
      </c>
      <c r="M281" s="110">
        <v>0</v>
      </c>
      <c r="N281" s="110">
        <v>2012</v>
      </c>
      <c r="O281" s="29" t="s">
        <v>4386</v>
      </c>
      <c r="P281" s="126">
        <v>279</v>
      </c>
      <c r="Q281" t="str">
        <f t="shared" si="4"/>
        <v>M&amp;MENERGYLLC1008APROSPECTSTREETELPASO</v>
      </c>
    </row>
    <row r="282" spans="1:17" x14ac:dyDescent="0.25">
      <c r="A282" s="29"/>
      <c r="B282" s="29"/>
      <c r="C282" s="94" t="s">
        <v>2000</v>
      </c>
      <c r="D282" s="111" t="s">
        <v>2001</v>
      </c>
      <c r="E282" s="29"/>
      <c r="F282" s="111" t="s">
        <v>83</v>
      </c>
      <c r="G282" s="111" t="s">
        <v>84</v>
      </c>
      <c r="H282" s="111" t="s">
        <v>2002</v>
      </c>
      <c r="I282" s="93" t="s">
        <v>62</v>
      </c>
      <c r="J282" s="29"/>
      <c r="K282" s="110">
        <v>0</v>
      </c>
      <c r="L282" s="110">
        <v>6</v>
      </c>
      <c r="M282" s="110">
        <v>0</v>
      </c>
      <c r="N282" s="110">
        <v>1037</v>
      </c>
      <c r="O282" s="29" t="s">
        <v>4386</v>
      </c>
      <c r="P282" s="126">
        <v>280</v>
      </c>
      <c r="Q282" t="str">
        <f t="shared" si="4"/>
        <v>M&amp;MOILLLC1902WESTHERMOSADRARTESIA</v>
      </c>
    </row>
    <row r="283" spans="1:17" x14ac:dyDescent="0.25">
      <c r="A283" s="29"/>
      <c r="B283" s="29"/>
      <c r="C283" s="112" t="s">
        <v>4506</v>
      </c>
      <c r="D283" s="100" t="s">
        <v>2004</v>
      </c>
      <c r="E283" s="29"/>
      <c r="F283" s="93" t="s">
        <v>83</v>
      </c>
      <c r="G283" s="93" t="s">
        <v>84</v>
      </c>
      <c r="H283" s="93">
        <v>88210</v>
      </c>
      <c r="I283" s="93" t="s">
        <v>62</v>
      </c>
      <c r="J283" s="29"/>
      <c r="K283" s="110">
        <v>62</v>
      </c>
      <c r="L283" s="110">
        <v>197</v>
      </c>
      <c r="M283" s="110">
        <v>4199159</v>
      </c>
      <c r="N283" s="110">
        <v>2086579</v>
      </c>
      <c r="O283" s="29" t="s">
        <v>4386</v>
      </c>
      <c r="P283" s="126">
        <v>281</v>
      </c>
      <c r="Q283" t="str">
        <f t="shared" si="4"/>
        <v>MACKENERGYCORPPOBOX960ARTESIA</v>
      </c>
    </row>
    <row r="284" spans="1:17" x14ac:dyDescent="0.25">
      <c r="A284" s="29"/>
      <c r="B284" s="29"/>
      <c r="C284" s="94" t="s">
        <v>2009</v>
      </c>
      <c r="D284" s="111" t="s">
        <v>2010</v>
      </c>
      <c r="E284" s="29"/>
      <c r="F284" s="111" t="s">
        <v>153</v>
      </c>
      <c r="G284" s="111" t="s">
        <v>80</v>
      </c>
      <c r="H284" s="111">
        <v>79701</v>
      </c>
      <c r="I284" s="93" t="s">
        <v>62</v>
      </c>
      <c r="J284" s="29"/>
      <c r="K284" s="110">
        <v>16</v>
      </c>
      <c r="L284" s="110">
        <v>41</v>
      </c>
      <c r="M284" s="110">
        <v>474444</v>
      </c>
      <c r="N284" s="110">
        <v>26442</v>
      </c>
      <c r="O284" s="29" t="s">
        <v>4386</v>
      </c>
      <c r="P284" s="126">
        <v>282</v>
      </c>
      <c r="Q284" t="str">
        <f t="shared" si="4"/>
        <v>MAMMOTHEXPLORATIONLLC200NORTHLORAINESTREETMIDLAND</v>
      </c>
    </row>
    <row r="285" spans="1:17" x14ac:dyDescent="0.25">
      <c r="A285" s="29"/>
      <c r="B285" s="29"/>
      <c r="C285" s="94" t="s">
        <v>2016</v>
      </c>
      <c r="D285" s="111" t="s">
        <v>2017</v>
      </c>
      <c r="E285" s="29"/>
      <c r="F285" s="111" t="s">
        <v>1073</v>
      </c>
      <c r="G285" s="111" t="s">
        <v>84</v>
      </c>
      <c r="H285" s="111">
        <v>87122</v>
      </c>
      <c r="I285" s="93" t="s">
        <v>62</v>
      </c>
      <c r="J285" s="29"/>
      <c r="K285" s="110">
        <v>10</v>
      </c>
      <c r="L285" s="110">
        <v>19</v>
      </c>
      <c r="M285" s="110">
        <v>572110</v>
      </c>
      <c r="N285" s="110">
        <v>701</v>
      </c>
      <c r="O285" s="29" t="s">
        <v>4386</v>
      </c>
      <c r="P285" s="126">
        <v>283</v>
      </c>
      <c r="Q285" t="str">
        <f t="shared" si="4"/>
        <v>MANANAGASINC2520TRAMWAYTERRACECTNEALBUQUERQUE</v>
      </c>
    </row>
    <row r="286" spans="1:17" x14ac:dyDescent="0.25">
      <c r="A286" s="29"/>
      <c r="B286" s="29"/>
      <c r="C286" s="94" t="s">
        <v>2022</v>
      </c>
      <c r="D286" s="111" t="s">
        <v>2023</v>
      </c>
      <c r="E286" s="29"/>
      <c r="F286" s="111" t="s">
        <v>209</v>
      </c>
      <c r="G286" s="111" t="s">
        <v>84</v>
      </c>
      <c r="H286" s="111">
        <v>88202</v>
      </c>
      <c r="I286" s="93" t="s">
        <v>62</v>
      </c>
      <c r="J286" s="29"/>
      <c r="K286" s="110">
        <v>11</v>
      </c>
      <c r="L286" s="110">
        <v>13</v>
      </c>
      <c r="M286" s="110">
        <v>212544</v>
      </c>
      <c r="N286" s="110">
        <v>306749</v>
      </c>
      <c r="O286" s="29" t="s">
        <v>4386</v>
      </c>
      <c r="P286" s="126">
        <v>284</v>
      </c>
      <c r="Q286" t="str">
        <f t="shared" si="4"/>
        <v>MANZANOLLCPOBOX1737ROSWELL</v>
      </c>
    </row>
    <row r="287" spans="1:17" x14ac:dyDescent="0.25">
      <c r="A287" s="29"/>
      <c r="B287" s="29"/>
      <c r="C287" s="94" t="s">
        <v>2028</v>
      </c>
      <c r="D287" s="111" t="s">
        <v>2029</v>
      </c>
      <c r="E287" s="29"/>
      <c r="F287" s="111" t="s">
        <v>2030</v>
      </c>
      <c r="G287" s="111" t="s">
        <v>84</v>
      </c>
      <c r="H287" s="111">
        <v>87502</v>
      </c>
      <c r="I287" s="93" t="s">
        <v>62</v>
      </c>
      <c r="J287" s="29"/>
      <c r="K287" s="110">
        <v>1</v>
      </c>
      <c r="L287" s="110">
        <v>20</v>
      </c>
      <c r="M287" s="110">
        <v>3218</v>
      </c>
      <c r="N287" s="110">
        <v>1825</v>
      </c>
      <c r="O287" s="29" t="s">
        <v>4386</v>
      </c>
      <c r="P287" s="126">
        <v>285</v>
      </c>
      <c r="Q287" t="str">
        <f t="shared" si="4"/>
        <v>MAROIL&amp;GASCORPPOBOX5155SANTAFE</v>
      </c>
    </row>
    <row r="288" spans="1:17" x14ac:dyDescent="0.25">
      <c r="A288" s="29"/>
      <c r="B288" s="29"/>
      <c r="C288" s="94" t="s">
        <v>2037</v>
      </c>
      <c r="D288" s="111" t="s">
        <v>2038</v>
      </c>
      <c r="E288" s="29"/>
      <c r="F288" s="111" t="s">
        <v>2039</v>
      </c>
      <c r="G288" s="111" t="s">
        <v>61</v>
      </c>
      <c r="H288" s="111">
        <v>81137</v>
      </c>
      <c r="I288" s="93" t="s">
        <v>62</v>
      </c>
      <c r="J288" s="29"/>
      <c r="K288" s="110">
        <v>5</v>
      </c>
      <c r="L288" s="110">
        <v>11</v>
      </c>
      <c r="M288" s="110">
        <v>229859</v>
      </c>
      <c r="N288" s="110">
        <v>1742</v>
      </c>
      <c r="O288" s="29" t="s">
        <v>4386</v>
      </c>
      <c r="P288" s="126">
        <v>286</v>
      </c>
      <c r="Q288" t="str">
        <f t="shared" si="4"/>
        <v>MARALEXRESOURCESINCPOBOX338IGNACIO</v>
      </c>
    </row>
    <row r="289" spans="1:17" x14ac:dyDescent="0.25">
      <c r="A289" s="29"/>
      <c r="B289" s="29" t="s">
        <v>4472</v>
      </c>
      <c r="C289" s="92" t="s">
        <v>2046</v>
      </c>
      <c r="D289" s="100" t="s">
        <v>2047</v>
      </c>
      <c r="E289" s="29"/>
      <c r="F289" s="93" t="s">
        <v>153</v>
      </c>
      <c r="G289" s="93" t="s">
        <v>80</v>
      </c>
      <c r="H289" s="93">
        <v>79702</v>
      </c>
      <c r="I289" s="93" t="s">
        <v>62</v>
      </c>
      <c r="J289" s="29"/>
      <c r="K289" s="110">
        <v>0</v>
      </c>
      <c r="L289" s="110">
        <v>0</v>
      </c>
      <c r="M289" s="110">
        <v>0</v>
      </c>
      <c r="N289" s="110">
        <v>0</v>
      </c>
      <c r="O289" s="29" t="s">
        <v>4385</v>
      </c>
      <c r="P289" s="126">
        <v>287</v>
      </c>
      <c r="Q289" t="str">
        <f t="shared" si="4"/>
        <v>MARALOINCPOBOX832MIDLAND</v>
      </c>
    </row>
    <row r="290" spans="1:17" x14ac:dyDescent="0.25">
      <c r="A290" s="29"/>
      <c r="B290" s="29"/>
      <c r="C290" s="112" t="s">
        <v>4507</v>
      </c>
      <c r="D290" s="100" t="s">
        <v>2052</v>
      </c>
      <c r="E290" s="29"/>
      <c r="F290" s="93" t="s">
        <v>112</v>
      </c>
      <c r="G290" s="93" t="s">
        <v>80</v>
      </c>
      <c r="H290" s="93">
        <v>77056</v>
      </c>
      <c r="I290" s="93" t="s">
        <v>62</v>
      </c>
      <c r="J290" s="29"/>
      <c r="K290" s="110">
        <v>183</v>
      </c>
      <c r="L290" s="110">
        <v>96</v>
      </c>
      <c r="M290" s="110">
        <v>39774691</v>
      </c>
      <c r="N290" s="110">
        <v>9793899</v>
      </c>
      <c r="O290" s="29" t="s">
        <v>4386</v>
      </c>
      <c r="P290" s="126">
        <v>288</v>
      </c>
      <c r="Q290" t="str">
        <f t="shared" si="4"/>
        <v>MARATHONOILPERMIANLLC5555SANFELIPESTREETHOUSTON</v>
      </c>
    </row>
    <row r="291" spans="1:17" x14ac:dyDescent="0.25">
      <c r="A291" s="29"/>
      <c r="B291" s="29"/>
      <c r="C291" s="94" t="s">
        <v>2058</v>
      </c>
      <c r="D291" s="111" t="s">
        <v>2059</v>
      </c>
      <c r="E291" s="29"/>
      <c r="F291" s="111" t="s">
        <v>112</v>
      </c>
      <c r="G291" s="111" t="s">
        <v>80</v>
      </c>
      <c r="H291" s="111">
        <v>77055</v>
      </c>
      <c r="I291" s="93" t="s">
        <v>62</v>
      </c>
      <c r="J291" s="29"/>
      <c r="K291" s="110">
        <v>0</v>
      </c>
      <c r="L291" s="110">
        <v>8</v>
      </c>
      <c r="M291" s="110">
        <v>21809</v>
      </c>
      <c r="N291" s="110">
        <v>3916</v>
      </c>
      <c r="O291" s="29" t="s">
        <v>4386</v>
      </c>
      <c r="P291" s="126">
        <v>289</v>
      </c>
      <c r="Q291" t="str">
        <f t="shared" si="4"/>
        <v>MARKLSHIDLERINC1313CAMPBELLROADHOUSTON</v>
      </c>
    </row>
    <row r="292" spans="1:17" x14ac:dyDescent="0.25">
      <c r="A292" s="29"/>
      <c r="B292" s="29" t="s">
        <v>4472</v>
      </c>
      <c r="C292" s="92" t="s">
        <v>2065</v>
      </c>
      <c r="D292" s="100" t="s">
        <v>2066</v>
      </c>
      <c r="E292" s="29"/>
      <c r="F292" s="93" t="s">
        <v>60</v>
      </c>
      <c r="G292" s="93" t="s">
        <v>61</v>
      </c>
      <c r="H292" s="93">
        <v>80202</v>
      </c>
      <c r="I292" s="93" t="s">
        <v>62</v>
      </c>
      <c r="J292" s="29"/>
      <c r="K292" s="110">
        <v>0</v>
      </c>
      <c r="L292" s="110">
        <v>0</v>
      </c>
      <c r="M292" s="110">
        <v>0</v>
      </c>
      <c r="N292" s="110">
        <v>0</v>
      </c>
      <c r="O292" s="29" t="s">
        <v>4385</v>
      </c>
      <c r="P292" s="126">
        <v>290</v>
      </c>
      <c r="Q292" t="str">
        <f t="shared" si="4"/>
        <v>MARKWESTTORNADOGASPLANTLLC1515ARAPAHOESTREETDENVER</v>
      </c>
    </row>
    <row r="293" spans="1:17" x14ac:dyDescent="0.25">
      <c r="A293" s="29"/>
      <c r="B293" s="29"/>
      <c r="C293" s="94" t="s">
        <v>2077</v>
      </c>
      <c r="D293" s="111" t="s">
        <v>2078</v>
      </c>
      <c r="E293" s="29"/>
      <c r="F293" s="111" t="s">
        <v>153</v>
      </c>
      <c r="G293" s="111" t="s">
        <v>80</v>
      </c>
      <c r="H293" s="111">
        <v>79710</v>
      </c>
      <c r="I293" s="93" t="s">
        <v>62</v>
      </c>
      <c r="J293" s="29"/>
      <c r="K293" s="110">
        <v>10</v>
      </c>
      <c r="L293" s="110">
        <v>9</v>
      </c>
      <c r="M293" s="110">
        <v>869971</v>
      </c>
      <c r="N293" s="110">
        <v>268481</v>
      </c>
      <c r="O293" s="29" t="s">
        <v>4386</v>
      </c>
      <c r="P293" s="126">
        <v>291</v>
      </c>
      <c r="Q293" t="str">
        <f t="shared" si="4"/>
        <v>MARSHALL&amp;WINSTONINCPOBOX50880MIDLAND</v>
      </c>
    </row>
    <row r="294" spans="1:17" x14ac:dyDescent="0.25">
      <c r="A294" s="29"/>
      <c r="B294" s="29"/>
      <c r="C294" s="94" t="s">
        <v>2084</v>
      </c>
      <c r="D294" s="111" t="s">
        <v>2085</v>
      </c>
      <c r="E294" s="29"/>
      <c r="F294" s="111" t="s">
        <v>153</v>
      </c>
      <c r="G294" s="111" t="s">
        <v>80</v>
      </c>
      <c r="H294" s="111">
        <v>79710</v>
      </c>
      <c r="I294" s="93" t="s">
        <v>62</v>
      </c>
      <c r="J294" s="29"/>
      <c r="K294" s="110">
        <v>0</v>
      </c>
      <c r="L294" s="110">
        <v>5</v>
      </c>
      <c r="M294" s="110">
        <v>0</v>
      </c>
      <c r="N294" s="110">
        <v>754</v>
      </c>
      <c r="O294" s="29" t="s">
        <v>4386</v>
      </c>
      <c r="P294" s="126">
        <v>292</v>
      </c>
      <c r="Q294" t="str">
        <f t="shared" si="4"/>
        <v>MASOPERATINGCOPOBOX52167MIDLAND</v>
      </c>
    </row>
    <row r="295" spans="1:17" x14ac:dyDescent="0.25">
      <c r="A295" s="29"/>
      <c r="B295" s="29"/>
      <c r="C295" s="112" t="s">
        <v>4508</v>
      </c>
      <c r="D295" s="100" t="s">
        <v>2087</v>
      </c>
      <c r="E295" s="29"/>
      <c r="F295" s="93" t="s">
        <v>378</v>
      </c>
      <c r="G295" s="93" t="s">
        <v>80</v>
      </c>
      <c r="H295" s="93">
        <v>75240</v>
      </c>
      <c r="I295" s="93" t="s">
        <v>62</v>
      </c>
      <c r="J295" s="29"/>
      <c r="K295" s="110">
        <v>251</v>
      </c>
      <c r="L295" s="110">
        <v>148</v>
      </c>
      <c r="M295" s="110">
        <v>62799624</v>
      </c>
      <c r="N295" s="110">
        <v>16312313</v>
      </c>
      <c r="O295" s="29" t="s">
        <v>4386</v>
      </c>
      <c r="P295" s="126">
        <v>293</v>
      </c>
      <c r="Q295" t="str">
        <f t="shared" si="4"/>
        <v>MATADORPRODUCTIONCOMPANYONELINCOLNCENTRE5400LBJFREEWAYDALLAS</v>
      </c>
    </row>
    <row r="296" spans="1:17" x14ac:dyDescent="0.25">
      <c r="A296" s="29"/>
      <c r="B296" s="29"/>
      <c r="C296" s="94" t="s">
        <v>2088</v>
      </c>
      <c r="D296" s="111" t="s">
        <v>2089</v>
      </c>
      <c r="E296" s="29"/>
      <c r="F296" s="111" t="s">
        <v>153</v>
      </c>
      <c r="G296" s="111" t="s">
        <v>80</v>
      </c>
      <c r="H296" s="111">
        <v>79701</v>
      </c>
      <c r="I296" s="93" t="s">
        <v>62</v>
      </c>
      <c r="J296" s="29"/>
      <c r="K296" s="110">
        <v>0</v>
      </c>
      <c r="L296" s="110">
        <v>14</v>
      </c>
      <c r="M296" s="110">
        <v>1569</v>
      </c>
      <c r="N296" s="110">
        <v>15508</v>
      </c>
      <c r="O296" s="29" t="s">
        <v>4386</v>
      </c>
      <c r="P296" s="126">
        <v>294</v>
      </c>
      <c r="Q296" t="str">
        <f t="shared" si="4"/>
        <v>MAVERICKOPERATINGLLC1004NBIGSPRINGSTREETMIDLAND</v>
      </c>
    </row>
    <row r="297" spans="1:17" x14ac:dyDescent="0.25">
      <c r="A297" s="29"/>
      <c r="B297" s="29"/>
      <c r="C297" s="94" t="s">
        <v>2095</v>
      </c>
      <c r="D297" s="105" t="s">
        <v>2096</v>
      </c>
      <c r="E297" s="29"/>
      <c r="F297" s="111" t="s">
        <v>123</v>
      </c>
      <c r="G297" s="111" t="s">
        <v>84</v>
      </c>
      <c r="H297" s="105">
        <v>87499</v>
      </c>
      <c r="I297" s="93" t="s">
        <v>62</v>
      </c>
      <c r="J297" s="29"/>
      <c r="K297" s="110">
        <v>0</v>
      </c>
      <c r="L297" s="110">
        <v>2</v>
      </c>
      <c r="M297" s="110">
        <v>6934</v>
      </c>
      <c r="N297" s="110">
        <v>1694</v>
      </c>
      <c r="O297" s="29" t="s">
        <v>4386</v>
      </c>
      <c r="P297" s="126">
        <v>295</v>
      </c>
      <c r="Q297" t="str">
        <f t="shared" si="4"/>
        <v>MAXDWEBBPOBOX190FARMINGTON</v>
      </c>
    </row>
    <row r="298" spans="1:17" x14ac:dyDescent="0.25">
      <c r="A298" s="29"/>
      <c r="B298" s="29"/>
      <c r="C298" s="94" t="s">
        <v>2097</v>
      </c>
      <c r="D298" s="105" t="s">
        <v>2098</v>
      </c>
      <c r="E298" s="29"/>
      <c r="F298" s="111" t="s">
        <v>206</v>
      </c>
      <c r="G298" s="111" t="s">
        <v>84</v>
      </c>
      <c r="H298" s="93">
        <v>88240</v>
      </c>
      <c r="I298" s="93" t="s">
        <v>62</v>
      </c>
      <c r="J298" s="29"/>
      <c r="K298" s="110">
        <v>2</v>
      </c>
      <c r="L298" s="110">
        <v>17</v>
      </c>
      <c r="M298" s="110">
        <v>111168</v>
      </c>
      <c r="N298" s="110">
        <v>5199</v>
      </c>
      <c r="O298" s="29" t="s">
        <v>4386</v>
      </c>
      <c r="P298" s="126">
        <v>296</v>
      </c>
      <c r="Q298" t="str">
        <f t="shared" si="4"/>
        <v>MCCASLANDMANAGEMENTINC1008WBROADWAYHOBBS</v>
      </c>
    </row>
    <row r="299" spans="1:17" x14ac:dyDescent="0.25">
      <c r="A299" s="29"/>
      <c r="B299" s="29"/>
      <c r="C299" s="94" t="s">
        <v>2099</v>
      </c>
      <c r="D299" s="111" t="s">
        <v>2100</v>
      </c>
      <c r="E299" s="29"/>
      <c r="F299" s="111" t="s">
        <v>153</v>
      </c>
      <c r="G299" s="111" t="s">
        <v>80</v>
      </c>
      <c r="H299" s="111">
        <v>79701</v>
      </c>
      <c r="I299" s="93" t="s">
        <v>62</v>
      </c>
      <c r="J299" s="29"/>
      <c r="K299" s="110">
        <v>0</v>
      </c>
      <c r="L299" s="110">
        <v>16</v>
      </c>
      <c r="M299" s="110">
        <v>4434</v>
      </c>
      <c r="N299" s="110">
        <v>67</v>
      </c>
      <c r="O299" s="29" t="s">
        <v>4386</v>
      </c>
      <c r="P299" s="126">
        <v>297</v>
      </c>
      <c r="Q299" t="str">
        <f t="shared" si="4"/>
        <v>MCDONNOLDOPERATINGINC505NBIGSPRINGMIDLAND</v>
      </c>
    </row>
    <row r="300" spans="1:17" x14ac:dyDescent="0.25">
      <c r="A300" s="29"/>
      <c r="B300" s="29"/>
      <c r="C300" s="94" t="s">
        <v>2106</v>
      </c>
      <c r="D300" s="111" t="s">
        <v>2107</v>
      </c>
      <c r="E300" s="29"/>
      <c r="F300" s="111" t="s">
        <v>409</v>
      </c>
      <c r="G300" s="111" t="s">
        <v>2108</v>
      </c>
      <c r="H300" s="111">
        <v>39296</v>
      </c>
      <c r="I300" s="93" t="s">
        <v>62</v>
      </c>
      <c r="J300" s="29"/>
      <c r="K300" s="110">
        <v>6</v>
      </c>
      <c r="L300" s="110">
        <v>14</v>
      </c>
      <c r="M300" s="110">
        <v>19309</v>
      </c>
      <c r="N300" s="110">
        <v>81203</v>
      </c>
      <c r="O300" s="29" t="s">
        <v>4386</v>
      </c>
      <c r="P300" s="126">
        <v>298</v>
      </c>
      <c r="Q300" t="str">
        <f t="shared" si="4"/>
        <v>MCGOWANWORKINGPARTNERSINCPOBOX55809JACKSON</v>
      </c>
    </row>
    <row r="301" spans="1:17" x14ac:dyDescent="0.25">
      <c r="A301" s="29"/>
      <c r="B301" s="29"/>
      <c r="C301" s="94" t="s">
        <v>2115</v>
      </c>
      <c r="D301" s="111" t="s">
        <v>1865</v>
      </c>
      <c r="E301" s="29"/>
      <c r="F301" s="111" t="s">
        <v>1866</v>
      </c>
      <c r="G301" s="111" t="s">
        <v>80</v>
      </c>
      <c r="H301" s="111">
        <v>77474</v>
      </c>
      <c r="I301" s="93" t="s">
        <v>62</v>
      </c>
      <c r="J301" s="29"/>
      <c r="K301" s="110">
        <v>0</v>
      </c>
      <c r="L301" s="110">
        <v>6</v>
      </c>
      <c r="M301" s="110">
        <v>0</v>
      </c>
      <c r="N301" s="110">
        <v>49</v>
      </c>
      <c r="O301" s="29" t="s">
        <v>4386</v>
      </c>
      <c r="P301" s="126">
        <v>299</v>
      </c>
      <c r="Q301" t="str">
        <f t="shared" si="4"/>
        <v>MCIOPERATINGOFNMLLC107MAINSTREETSEALY</v>
      </c>
    </row>
    <row r="302" spans="1:17" x14ac:dyDescent="0.25">
      <c r="A302" s="29"/>
      <c r="B302" s="29" t="s">
        <v>4472</v>
      </c>
      <c r="C302" s="92" t="s">
        <v>2116</v>
      </c>
      <c r="D302" s="100" t="s">
        <v>2117</v>
      </c>
      <c r="E302" s="29"/>
      <c r="F302" s="93" t="s">
        <v>209</v>
      </c>
      <c r="G302" s="93" t="s">
        <v>84</v>
      </c>
      <c r="H302" s="93">
        <v>88201</v>
      </c>
      <c r="I302" s="93" t="s">
        <v>62</v>
      </c>
      <c r="J302" s="29"/>
      <c r="K302" s="110">
        <v>0</v>
      </c>
      <c r="L302" s="110">
        <v>0</v>
      </c>
      <c r="M302" s="110">
        <v>0</v>
      </c>
      <c r="N302" s="110">
        <v>0</v>
      </c>
      <c r="O302" s="29" t="s">
        <v>4385</v>
      </c>
      <c r="P302" s="126">
        <v>300</v>
      </c>
      <c r="Q302" t="str">
        <f t="shared" si="4"/>
        <v>MCKAYOILCORPORATIONPOBOX2014ROSWELL</v>
      </c>
    </row>
    <row r="303" spans="1:17" x14ac:dyDescent="0.25">
      <c r="A303" s="29"/>
      <c r="B303" s="29"/>
      <c r="C303" s="94" t="s">
        <v>2122</v>
      </c>
      <c r="D303" s="111" t="s">
        <v>2123</v>
      </c>
      <c r="E303" s="29"/>
      <c r="F303" s="111" t="s">
        <v>153</v>
      </c>
      <c r="G303" s="111" t="s">
        <v>80</v>
      </c>
      <c r="H303" s="111">
        <v>79702</v>
      </c>
      <c r="I303" s="93" t="s">
        <v>62</v>
      </c>
      <c r="J303" s="29"/>
      <c r="K303" s="110">
        <v>0</v>
      </c>
      <c r="L303" s="110">
        <v>3</v>
      </c>
      <c r="M303" s="110">
        <v>0</v>
      </c>
      <c r="N303" s="110">
        <v>260</v>
      </c>
      <c r="O303" s="29" t="s">
        <v>4386</v>
      </c>
      <c r="P303" s="126">
        <v>301</v>
      </c>
      <c r="Q303" t="str">
        <f t="shared" si="4"/>
        <v>MEADCOPROPERTIESLTDPOBOX2236MIDLAND</v>
      </c>
    </row>
    <row r="304" spans="1:17" x14ac:dyDescent="0.25">
      <c r="A304" s="29"/>
      <c r="B304" s="29"/>
      <c r="C304" s="94" t="s">
        <v>2129</v>
      </c>
      <c r="D304" s="111" t="s">
        <v>2130</v>
      </c>
      <c r="E304" s="29"/>
      <c r="F304" s="111" t="s">
        <v>123</v>
      </c>
      <c r="G304" s="111" t="s">
        <v>84</v>
      </c>
      <c r="H304" s="111">
        <v>87401</v>
      </c>
      <c r="I304" s="93" t="s">
        <v>62</v>
      </c>
      <c r="J304" s="29"/>
      <c r="K304" s="110">
        <v>27</v>
      </c>
      <c r="L304" s="110">
        <v>39</v>
      </c>
      <c r="M304" s="110">
        <v>2201619</v>
      </c>
      <c r="N304" s="110">
        <v>21207</v>
      </c>
      <c r="O304" s="29" t="s">
        <v>4386</v>
      </c>
      <c r="P304" s="126">
        <v>302</v>
      </c>
      <c r="Q304" t="str">
        <f t="shared" si="4"/>
        <v>MERRIONOIL&amp;GASCORP610REILLYAVENUEFARMINGTON</v>
      </c>
    </row>
    <row r="305" spans="1:18" x14ac:dyDescent="0.25">
      <c r="A305" s="29"/>
      <c r="B305" s="29" t="s">
        <v>4472</v>
      </c>
      <c r="C305" s="92" t="s">
        <v>2136</v>
      </c>
      <c r="D305" s="98" t="s">
        <v>2137</v>
      </c>
      <c r="E305" s="29"/>
      <c r="F305" s="93" t="s">
        <v>4509</v>
      </c>
      <c r="G305" s="93" t="s">
        <v>61</v>
      </c>
      <c r="H305" s="93" t="s">
        <v>2138</v>
      </c>
      <c r="I305" s="93" t="s">
        <v>62</v>
      </c>
      <c r="J305" s="29"/>
      <c r="K305" s="110">
        <v>0</v>
      </c>
      <c r="L305" s="110">
        <v>0</v>
      </c>
      <c r="M305" s="110">
        <v>0</v>
      </c>
      <c r="N305" s="110">
        <v>0</v>
      </c>
      <c r="O305" s="29" t="s">
        <v>4385</v>
      </c>
      <c r="P305" s="126">
        <v>303</v>
      </c>
      <c r="Q305" t="str">
        <f t="shared" si="4"/>
        <v>MESAOIL6394E80THAVECOMMERCECITY​</v>
      </c>
      <c r="R305" t="s">
        <v>5067</v>
      </c>
    </row>
    <row r="306" spans="1:18" x14ac:dyDescent="0.25">
      <c r="A306" s="29"/>
      <c r="B306" s="29"/>
      <c r="C306" s="94" t="s">
        <v>2149</v>
      </c>
      <c r="D306" s="105" t="s">
        <v>2150</v>
      </c>
      <c r="E306" s="105" t="s">
        <v>2151</v>
      </c>
      <c r="F306" s="111" t="s">
        <v>206</v>
      </c>
      <c r="G306" s="111" t="s">
        <v>84</v>
      </c>
      <c r="H306" s="93">
        <v>88240</v>
      </c>
      <c r="I306" s="93" t="s">
        <v>62</v>
      </c>
      <c r="J306" s="29"/>
      <c r="K306" s="110">
        <v>3</v>
      </c>
      <c r="L306" s="110">
        <v>27</v>
      </c>
      <c r="M306" s="110">
        <v>466764</v>
      </c>
      <c r="N306" s="110">
        <v>59721</v>
      </c>
      <c r="O306" s="29" t="s">
        <v>4386</v>
      </c>
      <c r="P306" s="126">
        <v>304</v>
      </c>
      <c r="Q306" t="str">
        <f t="shared" si="4"/>
        <v>METEXOIL&amp;GASINC119EBENDERBLVDHOBBS</v>
      </c>
    </row>
    <row r="307" spans="1:18" x14ac:dyDescent="0.25">
      <c r="A307" s="29"/>
      <c r="B307" s="29"/>
      <c r="C307" s="112" t="s">
        <v>4510</v>
      </c>
      <c r="D307" s="100" t="s">
        <v>2157</v>
      </c>
      <c r="E307" s="29"/>
      <c r="F307" s="93" t="s">
        <v>206</v>
      </c>
      <c r="G307" s="93" t="s">
        <v>84</v>
      </c>
      <c r="H307" s="93">
        <v>88241</v>
      </c>
      <c r="I307" s="93" t="s">
        <v>62</v>
      </c>
      <c r="J307" s="29"/>
      <c r="K307" s="110">
        <v>581</v>
      </c>
      <c r="L307" s="110">
        <v>418</v>
      </c>
      <c r="M307" s="110">
        <v>123793892</v>
      </c>
      <c r="N307" s="110">
        <v>33277069</v>
      </c>
      <c r="O307" s="29" t="s">
        <v>4386</v>
      </c>
      <c r="P307" s="126">
        <v>305</v>
      </c>
      <c r="Q307" t="str">
        <f t="shared" si="4"/>
        <v>MEWBOURNEOILCOPOBOX5270HOBBS</v>
      </c>
    </row>
    <row r="308" spans="1:18" x14ac:dyDescent="0.25">
      <c r="A308" s="29"/>
      <c r="B308" s="29"/>
      <c r="C308" s="94" t="s">
        <v>2165</v>
      </c>
      <c r="D308" s="111" t="s">
        <v>2166</v>
      </c>
      <c r="E308" s="29"/>
      <c r="F308" s="111" t="s">
        <v>153</v>
      </c>
      <c r="G308" s="111" t="s">
        <v>80</v>
      </c>
      <c r="H308" s="111">
        <v>79702</v>
      </c>
      <c r="I308" s="93" t="s">
        <v>62</v>
      </c>
      <c r="J308" s="29"/>
      <c r="K308" s="110">
        <v>16</v>
      </c>
      <c r="L308" s="110">
        <v>0</v>
      </c>
      <c r="M308" s="110">
        <v>48379</v>
      </c>
      <c r="N308" s="110">
        <v>2277</v>
      </c>
      <c r="O308" s="29" t="s">
        <v>4386</v>
      </c>
      <c r="P308" s="126">
        <v>306</v>
      </c>
      <c r="Q308" t="str">
        <f t="shared" si="4"/>
        <v>MGMOIL&amp;GASCOPOBOX891MIDLAND</v>
      </c>
    </row>
    <row r="309" spans="1:18" x14ac:dyDescent="0.25">
      <c r="A309" s="29"/>
      <c r="B309" s="29"/>
      <c r="C309" s="94" t="s">
        <v>2172</v>
      </c>
      <c r="D309" s="111" t="s">
        <v>2173</v>
      </c>
      <c r="E309" s="29"/>
      <c r="F309" s="111" t="s">
        <v>1073</v>
      </c>
      <c r="G309" s="111" t="s">
        <v>84</v>
      </c>
      <c r="H309" s="111" t="s">
        <v>2174</v>
      </c>
      <c r="I309" s="93" t="s">
        <v>62</v>
      </c>
      <c r="J309" s="29"/>
      <c r="K309" s="110">
        <v>0</v>
      </c>
      <c r="L309" s="110">
        <v>1</v>
      </c>
      <c r="M309" s="110">
        <v>18406</v>
      </c>
      <c r="N309" s="110">
        <v>0</v>
      </c>
      <c r="O309" s="29" t="s">
        <v>4386</v>
      </c>
      <c r="P309" s="126">
        <v>307</v>
      </c>
      <c r="Q309" t="str">
        <f t="shared" si="4"/>
        <v>MICHAELPIERCEPOBOX16555ALBUQUERQUE</v>
      </c>
    </row>
    <row r="310" spans="1:18" x14ac:dyDescent="0.25">
      <c r="A310" s="29"/>
      <c r="B310" s="29" t="s">
        <v>4472</v>
      </c>
      <c r="C310" s="92" t="s">
        <v>2180</v>
      </c>
      <c r="D310" s="100" t="s">
        <v>1158</v>
      </c>
      <c r="E310" s="29"/>
      <c r="F310" s="93" t="s">
        <v>112</v>
      </c>
      <c r="G310" s="93" t="s">
        <v>80</v>
      </c>
      <c r="H310" s="93">
        <v>77210</v>
      </c>
      <c r="I310" s="93" t="s">
        <v>62</v>
      </c>
      <c r="J310" s="29"/>
      <c r="K310" s="110">
        <v>0</v>
      </c>
      <c r="L310" s="110">
        <v>0</v>
      </c>
      <c r="M310" s="110">
        <v>0</v>
      </c>
      <c r="N310" s="110">
        <v>0</v>
      </c>
      <c r="O310" s="29" t="s">
        <v>4385</v>
      </c>
      <c r="P310" s="126">
        <v>308</v>
      </c>
      <c r="Q310" t="str">
        <f t="shared" si="4"/>
        <v>MIDAMERICAPIPELINECOMPANYLLCPOBOX4324HOUSTON</v>
      </c>
    </row>
    <row r="311" spans="1:18" x14ac:dyDescent="0.25">
      <c r="A311" s="29"/>
      <c r="B311" s="29" t="s">
        <v>4472</v>
      </c>
      <c r="C311" s="92" t="s">
        <v>2188</v>
      </c>
      <c r="D311" s="100" t="s">
        <v>2189</v>
      </c>
      <c r="E311" s="29"/>
      <c r="F311" s="93" t="s">
        <v>2190</v>
      </c>
      <c r="G311" s="93" t="s">
        <v>80</v>
      </c>
      <c r="H311" s="93">
        <v>76058</v>
      </c>
      <c r="I311" s="93" t="s">
        <v>62</v>
      </c>
      <c r="J311" s="29"/>
      <c r="K311" s="110">
        <v>0</v>
      </c>
      <c r="L311" s="110">
        <v>0</v>
      </c>
      <c r="M311" s="110">
        <v>0</v>
      </c>
      <c r="N311" s="110">
        <v>0</v>
      </c>
      <c r="O311" s="29" t="s">
        <v>4385</v>
      </c>
      <c r="P311" s="126">
        <v>309</v>
      </c>
      <c r="Q311" t="str">
        <f t="shared" si="4"/>
        <v>MIDCONCOMPRESSIONLLC300NBROADWAYJOSHUA</v>
      </c>
    </row>
    <row r="312" spans="1:18" x14ac:dyDescent="0.25">
      <c r="A312" s="29"/>
      <c r="B312" s="29"/>
      <c r="C312" s="94" t="s">
        <v>2191</v>
      </c>
      <c r="D312" s="111" t="s">
        <v>2192</v>
      </c>
      <c r="E312" s="29"/>
      <c r="F312" s="111" t="s">
        <v>153</v>
      </c>
      <c r="G312" s="111" t="s">
        <v>80</v>
      </c>
      <c r="H312" s="111">
        <v>79710</v>
      </c>
      <c r="I312" s="93" t="s">
        <v>62</v>
      </c>
      <c r="J312" s="29"/>
      <c r="K312" s="110">
        <v>0</v>
      </c>
      <c r="L312" s="110">
        <v>34</v>
      </c>
      <c r="M312" s="110">
        <v>4125</v>
      </c>
      <c r="N312" s="110">
        <v>17890</v>
      </c>
      <c r="O312" s="29" t="s">
        <v>4386</v>
      </c>
      <c r="P312" s="126">
        <v>310</v>
      </c>
      <c r="Q312" t="str">
        <f t="shared" si="4"/>
        <v>MIDLANDOPERATINGINCPOBOX52308MIDLAND</v>
      </c>
    </row>
    <row r="313" spans="1:18" x14ac:dyDescent="0.25">
      <c r="A313" s="29"/>
      <c r="B313" s="29"/>
      <c r="C313" s="94" t="s">
        <v>2201</v>
      </c>
      <c r="D313" s="111" t="s">
        <v>2202</v>
      </c>
      <c r="E313" s="29"/>
      <c r="F313" s="111" t="s">
        <v>2203</v>
      </c>
      <c r="G313" s="111" t="s">
        <v>80</v>
      </c>
      <c r="H313" s="111">
        <v>75080</v>
      </c>
      <c r="I313" s="93" t="s">
        <v>62</v>
      </c>
      <c r="J313" s="29"/>
      <c r="K313" s="110">
        <v>0</v>
      </c>
      <c r="L313" s="110">
        <v>10</v>
      </c>
      <c r="M313" s="110">
        <v>87146</v>
      </c>
      <c r="N313" s="110">
        <v>1383</v>
      </c>
      <c r="O313" s="29" t="s">
        <v>4386</v>
      </c>
      <c r="P313" s="126">
        <v>311</v>
      </c>
      <c r="Q313" t="str">
        <f t="shared" si="4"/>
        <v>MINELINC314WOODCRESTDRRICHARDSON</v>
      </c>
    </row>
    <row r="314" spans="1:18" x14ac:dyDescent="0.25">
      <c r="A314" s="29"/>
      <c r="B314" s="29" t="s">
        <v>4472</v>
      </c>
      <c r="C314" s="92" t="s">
        <v>2209</v>
      </c>
      <c r="D314" s="100" t="s">
        <v>2210</v>
      </c>
      <c r="E314" s="29"/>
      <c r="F314" s="93" t="s">
        <v>161</v>
      </c>
      <c r="G314" s="93" t="s">
        <v>80</v>
      </c>
      <c r="H314" s="93">
        <v>77387</v>
      </c>
      <c r="I314" s="93" t="s">
        <v>62</v>
      </c>
      <c r="J314" s="29"/>
      <c r="K314" s="110">
        <v>0</v>
      </c>
      <c r="L314" s="110">
        <v>0</v>
      </c>
      <c r="M314" s="110">
        <v>0</v>
      </c>
      <c r="N314" s="110">
        <v>0</v>
      </c>
      <c r="O314" s="29" t="s">
        <v>4385</v>
      </c>
      <c r="P314" s="126">
        <v>312</v>
      </c>
      <c r="Q314" t="str">
        <f t="shared" si="4"/>
        <v>MITCHELLENERGYPOBOX4000THEWOODLANDS</v>
      </c>
    </row>
    <row r="315" spans="1:18" x14ac:dyDescent="0.25">
      <c r="A315" s="29"/>
      <c r="B315" s="29"/>
      <c r="C315" s="94" t="s">
        <v>2215</v>
      </c>
      <c r="D315" s="111" t="s">
        <v>2216</v>
      </c>
      <c r="E315" s="29"/>
      <c r="F315" s="111" t="s">
        <v>206</v>
      </c>
      <c r="G315" s="111" t="s">
        <v>84</v>
      </c>
      <c r="H315" s="111">
        <v>88242</v>
      </c>
      <c r="I315" s="93" t="s">
        <v>62</v>
      </c>
      <c r="J315" s="29"/>
      <c r="K315" s="110">
        <v>0</v>
      </c>
      <c r="L315" s="110">
        <v>12</v>
      </c>
      <c r="M315" s="110">
        <v>0</v>
      </c>
      <c r="N315" s="110">
        <v>3255</v>
      </c>
      <c r="O315" s="29" t="s">
        <v>4386</v>
      </c>
      <c r="P315" s="126">
        <v>313</v>
      </c>
      <c r="Q315" t="str">
        <f t="shared" si="4"/>
        <v>MNAENTERPRISESLTDCO106WALABAMASTREETHOBBS</v>
      </c>
    </row>
    <row r="316" spans="1:18" x14ac:dyDescent="0.25">
      <c r="A316" s="29"/>
      <c r="B316" s="29" t="s">
        <v>4472</v>
      </c>
      <c r="C316" s="92" t="s">
        <v>2222</v>
      </c>
      <c r="D316" s="100" t="s">
        <v>2223</v>
      </c>
      <c r="E316" s="29"/>
      <c r="F316" s="93" t="s">
        <v>153</v>
      </c>
      <c r="G316" s="93" t="s">
        <v>80</v>
      </c>
      <c r="H316" s="93">
        <v>79702</v>
      </c>
      <c r="I316" s="93" t="s">
        <v>62</v>
      </c>
      <c r="J316" s="29"/>
      <c r="K316" s="110">
        <v>0</v>
      </c>
      <c r="L316" s="110">
        <v>0</v>
      </c>
      <c r="M316" s="110">
        <v>0</v>
      </c>
      <c r="N316" s="110">
        <v>0</v>
      </c>
      <c r="O316" s="29" t="s">
        <v>4385</v>
      </c>
      <c r="P316" s="126">
        <v>314</v>
      </c>
      <c r="Q316" t="str">
        <f t="shared" si="4"/>
        <v>MOBILEXPLORATIONPOBOX633MIDLAND</v>
      </c>
    </row>
    <row r="317" spans="1:18" x14ac:dyDescent="0.25">
      <c r="A317" s="29"/>
      <c r="B317" s="29"/>
      <c r="C317" s="94" t="s">
        <v>2229</v>
      </c>
      <c r="D317" s="111" t="s">
        <v>2230</v>
      </c>
      <c r="E317" s="29"/>
      <c r="F317" s="111" t="s">
        <v>2231</v>
      </c>
      <c r="G317" s="111" t="s">
        <v>80</v>
      </c>
      <c r="H317" s="111">
        <v>76430</v>
      </c>
      <c r="I317" s="93" t="s">
        <v>62</v>
      </c>
      <c r="J317" s="29"/>
      <c r="K317" s="110">
        <v>2</v>
      </c>
      <c r="L317" s="110">
        <v>22</v>
      </c>
      <c r="M317" s="110">
        <v>208451</v>
      </c>
      <c r="N317" s="110">
        <v>12873</v>
      </c>
      <c r="O317" s="29" t="s">
        <v>4386</v>
      </c>
      <c r="P317" s="126">
        <v>315</v>
      </c>
      <c r="Q317" t="str">
        <f t="shared" si="4"/>
        <v>MOMENTUMOPERATINGCOINCPOBOX2439ALBANY</v>
      </c>
    </row>
    <row r="318" spans="1:18" x14ac:dyDescent="0.25">
      <c r="A318" s="29"/>
      <c r="B318" s="29"/>
      <c r="C318" s="94" t="s">
        <v>2236</v>
      </c>
      <c r="D318" s="111" t="s">
        <v>293</v>
      </c>
      <c r="E318" s="29"/>
      <c r="F318" s="111" t="s">
        <v>206</v>
      </c>
      <c r="G318" s="111" t="s">
        <v>84</v>
      </c>
      <c r="H318" s="111">
        <v>88240</v>
      </c>
      <c r="I318" s="93" t="s">
        <v>62</v>
      </c>
      <c r="J318" s="29"/>
      <c r="K318" s="110">
        <v>1</v>
      </c>
      <c r="L318" s="110">
        <v>12</v>
      </c>
      <c r="M318" s="110">
        <v>48150</v>
      </c>
      <c r="N318" s="110">
        <v>10602</v>
      </c>
      <c r="O318" s="29" t="s">
        <v>4386</v>
      </c>
      <c r="P318" s="126">
        <v>316</v>
      </c>
      <c r="Q318" t="str">
        <f t="shared" si="4"/>
        <v>MORGANOPERATINGINC1008WESTBROADWAYHOBBS</v>
      </c>
    </row>
    <row r="319" spans="1:18" x14ac:dyDescent="0.25">
      <c r="A319" s="29"/>
      <c r="B319" s="29"/>
      <c r="C319" s="94" t="s">
        <v>2237</v>
      </c>
      <c r="D319" s="105" t="s">
        <v>832</v>
      </c>
      <c r="E319" s="29"/>
      <c r="F319" s="111" t="s">
        <v>88</v>
      </c>
      <c r="G319" s="111" t="s">
        <v>80</v>
      </c>
      <c r="H319" s="93">
        <v>76102</v>
      </c>
      <c r="I319" s="93" t="s">
        <v>62</v>
      </c>
      <c r="J319" s="29"/>
      <c r="K319" s="110">
        <v>421</v>
      </c>
      <c r="L319" s="110">
        <v>481</v>
      </c>
      <c r="M319" s="110">
        <v>40807827</v>
      </c>
      <c r="N319" s="110">
        <v>7153</v>
      </c>
      <c r="O319" s="29" t="s">
        <v>4386</v>
      </c>
      <c r="P319" s="126">
        <v>317</v>
      </c>
      <c r="Q319" t="str">
        <f t="shared" si="4"/>
        <v>MORNINGSTARPARTNERSLP400WEST7THSTREETFORTWORTH</v>
      </c>
    </row>
    <row r="320" spans="1:18" x14ac:dyDescent="0.25">
      <c r="A320" s="29"/>
      <c r="B320" s="29"/>
      <c r="C320" s="94" t="s">
        <v>2244</v>
      </c>
      <c r="D320" s="111" t="s">
        <v>2245</v>
      </c>
      <c r="E320" s="29"/>
      <c r="F320" s="111" t="s">
        <v>378</v>
      </c>
      <c r="G320" s="111" t="s">
        <v>80</v>
      </c>
      <c r="H320" s="111">
        <v>75201</v>
      </c>
      <c r="I320" s="93" t="s">
        <v>62</v>
      </c>
      <c r="J320" s="29"/>
      <c r="K320" s="110">
        <v>0</v>
      </c>
      <c r="L320" s="110">
        <v>2</v>
      </c>
      <c r="M320" s="110">
        <v>0</v>
      </c>
      <c r="N320" s="110">
        <v>3700</v>
      </c>
      <c r="O320" s="29" t="s">
        <v>4386</v>
      </c>
      <c r="P320" s="126">
        <v>318</v>
      </c>
      <c r="Q320" t="str">
        <f t="shared" si="4"/>
        <v>MOSSPETROLEUMCO2100ROSSAVEDALLAS</v>
      </c>
    </row>
    <row r="321" spans="1:17" x14ac:dyDescent="0.25">
      <c r="A321" s="29"/>
      <c r="B321" s="29"/>
      <c r="C321" s="94" t="s">
        <v>2255</v>
      </c>
      <c r="D321" s="111" t="s">
        <v>2256</v>
      </c>
      <c r="E321" s="29"/>
      <c r="F321" s="111" t="s">
        <v>153</v>
      </c>
      <c r="G321" s="111" t="s">
        <v>80</v>
      </c>
      <c r="H321" s="111">
        <v>79701</v>
      </c>
      <c r="I321" s="93" t="s">
        <v>62</v>
      </c>
      <c r="J321" s="29"/>
      <c r="K321" s="110">
        <v>7</v>
      </c>
      <c r="L321" s="110">
        <v>9</v>
      </c>
      <c r="M321" s="110">
        <v>99756</v>
      </c>
      <c r="N321" s="110">
        <v>63050</v>
      </c>
      <c r="O321" s="29" t="s">
        <v>4386</v>
      </c>
      <c r="P321" s="126">
        <v>319</v>
      </c>
      <c r="Q321" t="str">
        <f t="shared" si="4"/>
        <v>MULLOYOPERATINGINC415WWALLMIDLAND</v>
      </c>
    </row>
    <row r="322" spans="1:17" x14ac:dyDescent="0.25">
      <c r="A322" s="29"/>
      <c r="B322" s="29"/>
      <c r="C322" s="112" t="s">
        <v>4511</v>
      </c>
      <c r="D322" s="100" t="s">
        <v>2265</v>
      </c>
      <c r="E322" s="29"/>
      <c r="F322" s="93" t="s">
        <v>2266</v>
      </c>
      <c r="G322" s="93" t="s">
        <v>84</v>
      </c>
      <c r="H322" s="93">
        <v>88220</v>
      </c>
      <c r="I322" s="93" t="s">
        <v>62</v>
      </c>
      <c r="J322" s="29"/>
      <c r="K322" s="110">
        <v>36</v>
      </c>
      <c r="L322" s="110">
        <v>46</v>
      </c>
      <c r="M322" s="110">
        <v>4254526</v>
      </c>
      <c r="N322" s="110">
        <v>939010</v>
      </c>
      <c r="O322" s="29" t="s">
        <v>4386</v>
      </c>
      <c r="P322" s="126">
        <v>320</v>
      </c>
      <c r="Q322" t="str">
        <f t="shared" si="4"/>
        <v>MURCHISONOILANDGASLLC5325SIERRAVISTACARLSBAD</v>
      </c>
    </row>
    <row r="323" spans="1:17" x14ac:dyDescent="0.25">
      <c r="A323" s="29"/>
      <c r="B323" s="29"/>
      <c r="C323" s="112" t="s">
        <v>4512</v>
      </c>
      <c r="D323" s="100" t="s">
        <v>2273</v>
      </c>
      <c r="E323" s="29"/>
      <c r="F323" s="93" t="s">
        <v>60</v>
      </c>
      <c r="G323" s="93" t="s">
        <v>61</v>
      </c>
      <c r="H323" s="93">
        <v>80264</v>
      </c>
      <c r="I323" s="93" t="s">
        <v>62</v>
      </c>
      <c r="J323" s="29"/>
      <c r="K323" s="110">
        <v>33</v>
      </c>
      <c r="L323" s="110">
        <v>51</v>
      </c>
      <c r="M323" s="110">
        <v>2027331</v>
      </c>
      <c r="N323" s="110">
        <v>7761</v>
      </c>
      <c r="O323" s="29" t="s">
        <v>4386</v>
      </c>
      <c r="P323" s="126">
        <v>321</v>
      </c>
      <c r="Q323" t="str">
        <f t="shared" si="4"/>
        <v>MUSTANGRESOURCESLLC1660LINCOLNSTREETDENVER</v>
      </c>
    </row>
    <row r="324" spans="1:17" x14ac:dyDescent="0.25">
      <c r="A324" s="29"/>
      <c r="B324" s="29" t="s">
        <v>4472</v>
      </c>
      <c r="C324" s="92" t="s">
        <v>2278</v>
      </c>
      <c r="D324" s="100" t="s">
        <v>2279</v>
      </c>
      <c r="E324" s="29"/>
      <c r="F324" s="93" t="s">
        <v>123</v>
      </c>
      <c r="G324" s="93" t="s">
        <v>84</v>
      </c>
      <c r="H324" s="93">
        <v>87401</v>
      </c>
      <c r="I324" s="93" t="s">
        <v>62</v>
      </c>
      <c r="J324" s="29"/>
      <c r="K324" s="110">
        <v>0</v>
      </c>
      <c r="L324" s="110">
        <v>0</v>
      </c>
      <c r="M324" s="110">
        <v>0</v>
      </c>
      <c r="N324" s="110">
        <v>0</v>
      </c>
      <c r="O324" s="29" t="s">
        <v>4385</v>
      </c>
      <c r="P324" s="126">
        <v>322</v>
      </c>
      <c r="Q324" t="str">
        <f t="shared" ref="Q324:Q387" si="5">UPPER(SUBSTITUTE(SUBSTITUTE(SUBSTITUTE(SUBSTITUTE(C324&amp;D324&amp;F324," ",""),".",""),",",""),"-",""))</f>
        <v>MWPETROLEUMCORP304NBEHRENDFARMINGTON</v>
      </c>
    </row>
    <row r="325" spans="1:17" x14ac:dyDescent="0.25">
      <c r="A325" s="29"/>
      <c r="B325" s="29"/>
      <c r="C325" s="94" t="s">
        <v>2280</v>
      </c>
      <c r="D325" s="111" t="s">
        <v>2281</v>
      </c>
      <c r="E325" s="29"/>
      <c r="F325" s="111" t="s">
        <v>2282</v>
      </c>
      <c r="G325" s="111" t="s">
        <v>80</v>
      </c>
      <c r="H325" s="111">
        <v>79782</v>
      </c>
      <c r="I325" s="93" t="s">
        <v>62</v>
      </c>
      <c r="J325" s="29"/>
      <c r="K325" s="110">
        <v>0</v>
      </c>
      <c r="L325" s="110">
        <v>1</v>
      </c>
      <c r="M325" s="110">
        <v>460</v>
      </c>
      <c r="N325" s="110">
        <v>0</v>
      </c>
      <c r="O325" s="29" t="s">
        <v>4386</v>
      </c>
      <c r="P325" s="126">
        <v>323</v>
      </c>
      <c r="Q325" t="str">
        <f t="shared" si="5"/>
        <v>MWSPRODUCINGINCPOBOX100STANTON</v>
      </c>
    </row>
    <row r="326" spans="1:17" x14ac:dyDescent="0.25">
      <c r="A326" s="29"/>
      <c r="B326" s="29"/>
      <c r="C326" s="94" t="s">
        <v>2287</v>
      </c>
      <c r="D326" s="111" t="s">
        <v>2288</v>
      </c>
      <c r="E326" s="29"/>
      <c r="F326" s="111" t="s">
        <v>183</v>
      </c>
      <c r="G326" s="111" t="s">
        <v>184</v>
      </c>
      <c r="H326" s="111">
        <v>74103</v>
      </c>
      <c r="I326" s="93" t="s">
        <v>62</v>
      </c>
      <c r="J326" s="29"/>
      <c r="K326" s="110">
        <v>6</v>
      </c>
      <c r="L326" s="110">
        <v>33</v>
      </c>
      <c r="M326" s="110">
        <v>208363</v>
      </c>
      <c r="N326" s="110">
        <v>401</v>
      </c>
      <c r="O326" s="29" t="s">
        <v>4386</v>
      </c>
      <c r="P326" s="126">
        <v>324</v>
      </c>
      <c r="Q326" t="str">
        <f t="shared" si="5"/>
        <v>NM&amp;OOPERATINGCO320SBOSTONTULSA</v>
      </c>
    </row>
    <row r="327" spans="1:17" x14ac:dyDescent="0.25">
      <c r="A327" s="29"/>
      <c r="B327" s="29" t="s">
        <v>4472</v>
      </c>
      <c r="C327" s="92" t="s">
        <v>2289</v>
      </c>
      <c r="D327" s="100" t="s">
        <v>2290</v>
      </c>
      <c r="E327" s="29"/>
      <c r="F327" s="93" t="s">
        <v>2291</v>
      </c>
      <c r="G327" s="93" t="s">
        <v>80</v>
      </c>
      <c r="H327" s="93">
        <v>77487</v>
      </c>
      <c r="I327" s="93" t="s">
        <v>62</v>
      </c>
      <c r="J327" s="29"/>
      <c r="K327" s="110">
        <v>0</v>
      </c>
      <c r="L327" s="110">
        <v>0</v>
      </c>
      <c r="M327" s="110">
        <v>0</v>
      </c>
      <c r="N327" s="110">
        <v>0</v>
      </c>
      <c r="O327" s="29" t="s">
        <v>4385</v>
      </c>
      <c r="P327" s="126">
        <v>325</v>
      </c>
      <c r="Q327" t="str">
        <f t="shared" si="5"/>
        <v>NALCOCOMPANYPOBOX87SUGARLAND</v>
      </c>
    </row>
    <row r="328" spans="1:17" x14ac:dyDescent="0.25">
      <c r="A328" s="29"/>
      <c r="B328" s="29" t="s">
        <v>4472</v>
      </c>
      <c r="C328" s="92" t="s">
        <v>2306</v>
      </c>
      <c r="D328" s="100" t="s">
        <v>2307</v>
      </c>
      <c r="E328" s="29"/>
      <c r="F328" s="93" t="s">
        <v>2308</v>
      </c>
      <c r="G328" s="93" t="s">
        <v>61</v>
      </c>
      <c r="H328" s="93">
        <v>80228</v>
      </c>
      <c r="I328" s="93" t="s">
        <v>62</v>
      </c>
      <c r="J328" s="29"/>
      <c r="K328" s="110">
        <v>0</v>
      </c>
      <c r="L328" s="110">
        <v>0</v>
      </c>
      <c r="M328" s="110">
        <v>0</v>
      </c>
      <c r="N328" s="110">
        <v>0</v>
      </c>
      <c r="O328" s="29" t="s">
        <v>4385</v>
      </c>
      <c r="P328" s="126">
        <v>326</v>
      </c>
      <c r="Q328" t="str">
        <f t="shared" si="5"/>
        <v>NATURALGASPIPELINECOOFAMERICA370VANGORDONSTREETLAKEWOOD</v>
      </c>
    </row>
    <row r="329" spans="1:17" x14ac:dyDescent="0.25">
      <c r="A329" s="29"/>
      <c r="B329" s="29" t="s">
        <v>4472</v>
      </c>
      <c r="C329" s="92" t="s">
        <v>2316</v>
      </c>
      <c r="D329" s="100" t="s">
        <v>2317</v>
      </c>
      <c r="E329" s="29"/>
      <c r="F329" s="93" t="s">
        <v>153</v>
      </c>
      <c r="G329" s="93" t="s">
        <v>80</v>
      </c>
      <c r="H329" s="93">
        <v>79706</v>
      </c>
      <c r="I329" s="93" t="s">
        <v>62</v>
      </c>
      <c r="J329" s="29"/>
      <c r="K329" s="110">
        <v>0</v>
      </c>
      <c r="L329" s="110">
        <v>0</v>
      </c>
      <c r="M329" s="110">
        <v>0</v>
      </c>
      <c r="N329" s="110">
        <v>0</v>
      </c>
      <c r="O329" s="29" t="s">
        <v>4385</v>
      </c>
      <c r="P329" s="126">
        <v>327</v>
      </c>
      <c r="Q329" t="str">
        <f t="shared" si="5"/>
        <v>NATURALGASSERVICESGROUP2911SCOUNTYROAD1260MIDLAND</v>
      </c>
    </row>
    <row r="330" spans="1:17" x14ac:dyDescent="0.25">
      <c r="A330" s="29"/>
      <c r="B330" s="29"/>
      <c r="C330" s="94" t="s">
        <v>2318</v>
      </c>
      <c r="D330" s="111" t="s">
        <v>2319</v>
      </c>
      <c r="E330" s="29"/>
      <c r="F330" s="111" t="s">
        <v>2030</v>
      </c>
      <c r="G330" s="111" t="s">
        <v>84</v>
      </c>
      <c r="H330" s="111">
        <v>87504</v>
      </c>
      <c r="I330" s="93" t="s">
        <v>62</v>
      </c>
      <c r="J330" s="29"/>
      <c r="K330" s="110">
        <v>0</v>
      </c>
      <c r="L330" s="110">
        <v>1</v>
      </c>
      <c r="M330" s="110">
        <v>18248</v>
      </c>
      <c r="N330" s="110">
        <v>0</v>
      </c>
      <c r="O330" s="29" t="s">
        <v>4386</v>
      </c>
      <c r="P330" s="126">
        <v>328</v>
      </c>
      <c r="Q330" t="str">
        <f t="shared" si="5"/>
        <v>NAUMANNOIL&amp;GASINCPOBOX1886SANTAFE</v>
      </c>
    </row>
    <row r="331" spans="1:17" x14ac:dyDescent="0.25">
      <c r="A331" s="29"/>
      <c r="B331" s="29" t="s">
        <v>4472</v>
      </c>
      <c r="C331" s="92" t="s">
        <v>2325</v>
      </c>
      <c r="D331" s="100" t="s">
        <v>2326</v>
      </c>
      <c r="E331" s="29"/>
      <c r="F331" s="93" t="s">
        <v>206</v>
      </c>
      <c r="G331" s="93" t="s">
        <v>84</v>
      </c>
      <c r="H331" s="93">
        <v>88240</v>
      </c>
      <c r="I331" s="93" t="s">
        <v>62</v>
      </c>
      <c r="J331" s="29"/>
      <c r="K331" s="110">
        <v>0</v>
      </c>
      <c r="L331" s="110">
        <v>0</v>
      </c>
      <c r="M331" s="110">
        <v>0</v>
      </c>
      <c r="N331" s="110">
        <v>0</v>
      </c>
      <c r="O331" s="29" t="s">
        <v>4385</v>
      </c>
      <c r="P331" s="126">
        <v>329</v>
      </c>
      <c r="Q331" t="str">
        <f t="shared" si="5"/>
        <v>NEARBURGPRODUCINGCOMPANY1819NTURNERHOBBS</v>
      </c>
    </row>
    <row r="332" spans="1:17" x14ac:dyDescent="0.25">
      <c r="A332" s="29"/>
      <c r="B332" s="29" t="s">
        <v>4472</v>
      </c>
      <c r="C332" s="92" t="s">
        <v>2327</v>
      </c>
      <c r="D332" s="100" t="s">
        <v>2328</v>
      </c>
      <c r="E332" s="29"/>
      <c r="F332" s="93" t="s">
        <v>1073</v>
      </c>
      <c r="G332" s="93" t="s">
        <v>84</v>
      </c>
      <c r="H332" s="93">
        <v>87199</v>
      </c>
      <c r="I332" s="93" t="s">
        <v>62</v>
      </c>
      <c r="J332" s="29"/>
      <c r="K332" s="110">
        <v>0</v>
      </c>
      <c r="L332" s="110">
        <v>0</v>
      </c>
      <c r="M332" s="110">
        <v>0</v>
      </c>
      <c r="N332" s="110">
        <v>0</v>
      </c>
      <c r="O332" s="29" t="s">
        <v>4385</v>
      </c>
      <c r="P332" s="126">
        <v>330</v>
      </c>
      <c r="Q332" t="str">
        <f t="shared" si="5"/>
        <v>NEWMEXICOGASCOMPANY(NMGC)POBOX97500ALBUQUERQUE</v>
      </c>
    </row>
    <row r="333" spans="1:17" x14ac:dyDescent="0.25">
      <c r="A333" s="29"/>
      <c r="B333" s="29" t="s">
        <v>4472</v>
      </c>
      <c r="C333" s="92" t="s">
        <v>2342</v>
      </c>
      <c r="D333" s="100" t="s">
        <v>2343</v>
      </c>
      <c r="E333" s="29"/>
      <c r="F333" s="93" t="s">
        <v>60</v>
      </c>
      <c r="G333" s="93" t="s">
        <v>61</v>
      </c>
      <c r="H333" s="93">
        <v>80209</v>
      </c>
      <c r="I333" s="93" t="s">
        <v>62</v>
      </c>
      <c r="J333" s="29"/>
      <c r="K333" s="110">
        <v>0</v>
      </c>
      <c r="L333" s="110">
        <v>0</v>
      </c>
      <c r="M333" s="110">
        <v>0</v>
      </c>
      <c r="N333" s="110">
        <v>0</v>
      </c>
      <c r="O333" s="29" t="s">
        <v>4385</v>
      </c>
      <c r="P333" s="126">
        <v>331</v>
      </c>
      <c r="Q333" t="str">
        <f t="shared" si="5"/>
        <v>NGLWATERSOLUTIONSPERMIANLLC3773CHERRYCREEKNORTHDRDENVER</v>
      </c>
    </row>
    <row r="334" spans="1:17" x14ac:dyDescent="0.25">
      <c r="A334" s="29"/>
      <c r="B334" s="29"/>
      <c r="C334" s="94" t="s">
        <v>2352</v>
      </c>
      <c r="D334" s="111" t="s">
        <v>2353</v>
      </c>
      <c r="E334" s="29"/>
      <c r="F334" s="111" t="s">
        <v>60</v>
      </c>
      <c r="G334" s="111" t="s">
        <v>61</v>
      </c>
      <c r="H334" s="111">
        <v>80202</v>
      </c>
      <c r="I334" s="93" t="s">
        <v>62</v>
      </c>
      <c r="J334" s="29"/>
      <c r="K334" s="110">
        <v>2</v>
      </c>
      <c r="L334" s="110">
        <v>7</v>
      </c>
      <c r="M334" s="110">
        <v>20166</v>
      </c>
      <c r="N334" s="110">
        <v>8364</v>
      </c>
      <c r="O334" s="29" t="s">
        <v>4386</v>
      </c>
      <c r="P334" s="126">
        <v>332</v>
      </c>
      <c r="Q334" t="str">
        <f t="shared" si="5"/>
        <v>NNOGCEXPLORATIONANDPRODUCTIONLLC1625BROADWAYDENVER</v>
      </c>
    </row>
    <row r="335" spans="1:17" x14ac:dyDescent="0.25">
      <c r="A335" s="29"/>
      <c r="B335" s="29"/>
      <c r="C335" s="94" t="s">
        <v>2359</v>
      </c>
      <c r="D335" s="111" t="s">
        <v>2360</v>
      </c>
      <c r="E335" s="29"/>
      <c r="F335" s="111" t="s">
        <v>112</v>
      </c>
      <c r="G335" s="111" t="s">
        <v>80</v>
      </c>
      <c r="H335" s="111">
        <v>77019</v>
      </c>
      <c r="I335" s="93" t="s">
        <v>62</v>
      </c>
      <c r="J335" s="29"/>
      <c r="K335" s="110">
        <v>0</v>
      </c>
      <c r="L335" s="110">
        <v>13</v>
      </c>
      <c r="M335" s="110">
        <v>25670</v>
      </c>
      <c r="N335" s="110">
        <v>4380</v>
      </c>
      <c r="O335" s="29" t="s">
        <v>4386</v>
      </c>
      <c r="P335" s="126">
        <v>333</v>
      </c>
      <c r="Q335" t="str">
        <f t="shared" si="5"/>
        <v>NORDSTRANDENGINEERINGINC905KIRBYDRIVEHOUSTON</v>
      </c>
    </row>
    <row r="336" spans="1:17" x14ac:dyDescent="0.25">
      <c r="A336" s="29"/>
      <c r="B336" s="29"/>
      <c r="C336" s="94" t="s">
        <v>2361</v>
      </c>
      <c r="D336" s="111" t="s">
        <v>2362</v>
      </c>
      <c r="E336" s="29"/>
      <c r="F336" s="111" t="s">
        <v>2363</v>
      </c>
      <c r="G336" s="111" t="s">
        <v>184</v>
      </c>
      <c r="H336" s="111">
        <v>73116</v>
      </c>
      <c r="I336" s="93" t="s">
        <v>62</v>
      </c>
      <c r="J336" s="29"/>
      <c r="K336" s="110">
        <v>8</v>
      </c>
      <c r="L336" s="110">
        <v>30</v>
      </c>
      <c r="M336" s="110">
        <v>127838</v>
      </c>
      <c r="N336" s="110">
        <v>8862</v>
      </c>
      <c r="O336" s="29" t="s">
        <v>4386</v>
      </c>
      <c r="P336" s="126">
        <v>334</v>
      </c>
      <c r="Q336" t="str">
        <f t="shared" si="5"/>
        <v>NORTHFORKOPERATINGLP1000WWILSHIREBOULEVARDNICHOLSHILLS</v>
      </c>
    </row>
    <row r="337" spans="1:17" x14ac:dyDescent="0.25">
      <c r="A337" s="29"/>
      <c r="B337" s="29"/>
      <c r="C337" s="112" t="s">
        <v>4513</v>
      </c>
      <c r="D337" s="100" t="s">
        <v>2369</v>
      </c>
      <c r="E337" s="29"/>
      <c r="F337" s="93" t="s">
        <v>585</v>
      </c>
      <c r="G337" s="93" t="s">
        <v>184</v>
      </c>
      <c r="H337" s="93">
        <v>73116</v>
      </c>
      <c r="I337" s="93" t="s">
        <v>62</v>
      </c>
      <c r="J337" s="29"/>
      <c r="K337" s="110">
        <v>2</v>
      </c>
      <c r="L337" s="110">
        <v>0</v>
      </c>
      <c r="M337" s="110">
        <v>14145</v>
      </c>
      <c r="N337" s="110">
        <v>4971</v>
      </c>
      <c r="O337" s="29" t="s">
        <v>4386</v>
      </c>
      <c r="P337" s="126">
        <v>335</v>
      </c>
      <c r="Q337" t="str">
        <f t="shared" si="5"/>
        <v>NOVOOIL&amp;GASNORTHERNDELAWARELLC1001WESTWILSHIREBLVDOKLAHOMACITY</v>
      </c>
    </row>
    <row r="338" spans="1:17" x14ac:dyDescent="0.25">
      <c r="A338" s="29"/>
      <c r="B338" s="29"/>
      <c r="C338" s="94" t="s">
        <v>2374</v>
      </c>
      <c r="D338" s="111" t="s">
        <v>2375</v>
      </c>
      <c r="E338" s="29"/>
      <c r="F338" s="111" t="s">
        <v>2376</v>
      </c>
      <c r="G338" s="111" t="s">
        <v>2377</v>
      </c>
      <c r="H338" s="111">
        <v>67052</v>
      </c>
      <c r="I338" s="93" t="s">
        <v>62</v>
      </c>
      <c r="J338" s="29"/>
      <c r="K338" s="110">
        <v>0</v>
      </c>
      <c r="L338" s="110">
        <v>1</v>
      </c>
      <c r="M338" s="110">
        <v>22403</v>
      </c>
      <c r="N338" s="110">
        <v>2856</v>
      </c>
      <c r="O338" s="29" t="s">
        <v>4386</v>
      </c>
      <c r="P338" s="126">
        <v>336</v>
      </c>
      <c r="Q338" t="str">
        <f t="shared" si="5"/>
        <v>NOVYOIL&amp;GASINCPOBOX559GODDARD</v>
      </c>
    </row>
    <row r="339" spans="1:17" x14ac:dyDescent="0.25">
      <c r="A339" s="29"/>
      <c r="B339" s="29"/>
      <c r="C339" s="94" t="s">
        <v>2384</v>
      </c>
      <c r="D339" s="111" t="s">
        <v>2385</v>
      </c>
      <c r="E339" s="29"/>
      <c r="F339" s="111" t="s">
        <v>378</v>
      </c>
      <c r="G339" s="111" t="s">
        <v>80</v>
      </c>
      <c r="H339" s="111">
        <v>75235</v>
      </c>
      <c r="I339" s="93" t="s">
        <v>62</v>
      </c>
      <c r="J339" s="29"/>
      <c r="K339" s="110">
        <v>0</v>
      </c>
      <c r="L339" s="110">
        <v>1</v>
      </c>
      <c r="M339" s="110">
        <v>10402</v>
      </c>
      <c r="N339" s="110">
        <v>0</v>
      </c>
      <c r="O339" s="29" t="s">
        <v>4386</v>
      </c>
      <c r="P339" s="126">
        <v>337</v>
      </c>
      <c r="Q339" t="str">
        <f t="shared" si="5"/>
        <v>NUEVIDARESOURCESLLC5950CEDARSPRINGSROADDALLAS</v>
      </c>
    </row>
    <row r="340" spans="1:17" x14ac:dyDescent="0.25">
      <c r="A340" s="29"/>
      <c r="B340" s="29"/>
      <c r="C340" s="94" t="s">
        <v>2386</v>
      </c>
      <c r="D340" s="111" t="s">
        <v>2387</v>
      </c>
      <c r="E340" s="29"/>
      <c r="F340" s="111" t="s">
        <v>344</v>
      </c>
      <c r="G340" s="111" t="s">
        <v>80</v>
      </c>
      <c r="H340" s="111">
        <v>79714</v>
      </c>
      <c r="I340" s="93" t="s">
        <v>62</v>
      </c>
      <c r="J340" s="29"/>
      <c r="K340" s="110">
        <v>0</v>
      </c>
      <c r="L340" s="110">
        <v>8</v>
      </c>
      <c r="M340" s="110">
        <v>0</v>
      </c>
      <c r="N340" s="110">
        <v>2200</v>
      </c>
      <c r="O340" s="29" t="s">
        <v>4386</v>
      </c>
      <c r="P340" s="126">
        <v>338</v>
      </c>
      <c r="Q340" t="str">
        <f t="shared" si="5"/>
        <v>NUROCENERGYINCORPORATEDPOBOX907ANDREWS</v>
      </c>
    </row>
    <row r="341" spans="1:17" x14ac:dyDescent="0.25">
      <c r="A341" s="29"/>
      <c r="B341" s="29"/>
      <c r="C341" s="112" t="s">
        <v>4514</v>
      </c>
      <c r="D341" s="100" t="s">
        <v>2391</v>
      </c>
      <c r="E341" s="29"/>
      <c r="F341" s="93" t="s">
        <v>112</v>
      </c>
      <c r="G341" s="93" t="s">
        <v>80</v>
      </c>
      <c r="H341" s="93">
        <v>77046</v>
      </c>
      <c r="I341" s="93" t="s">
        <v>62</v>
      </c>
      <c r="J341" s="29"/>
      <c r="K341" s="110">
        <v>244</v>
      </c>
      <c r="L341" s="110">
        <v>83</v>
      </c>
      <c r="M341" s="110">
        <v>75407065</v>
      </c>
      <c r="N341" s="110">
        <v>7986523</v>
      </c>
      <c r="O341" s="29" t="s">
        <v>4386</v>
      </c>
      <c r="P341" s="126">
        <v>339</v>
      </c>
      <c r="Q341" t="str">
        <f t="shared" si="5"/>
        <v>OCCIDENTALPERMIANLTD5GREENWAYPLAZAHOUSTON</v>
      </c>
    </row>
    <row r="342" spans="1:17" x14ac:dyDescent="0.25">
      <c r="A342" s="29"/>
      <c r="B342" s="29"/>
      <c r="C342" s="94" t="s">
        <v>2397</v>
      </c>
      <c r="D342" s="111" t="s">
        <v>2398</v>
      </c>
      <c r="E342" s="29"/>
      <c r="F342" s="111" t="s">
        <v>2399</v>
      </c>
      <c r="G342" s="111" t="s">
        <v>80</v>
      </c>
      <c r="H342" s="111">
        <v>77902</v>
      </c>
      <c r="I342" s="93" t="s">
        <v>62</v>
      </c>
      <c r="J342" s="29"/>
      <c r="K342" s="110">
        <v>2</v>
      </c>
      <c r="L342" s="110">
        <v>19</v>
      </c>
      <c r="M342" s="110">
        <v>115958</v>
      </c>
      <c r="N342" s="110">
        <v>3228</v>
      </c>
      <c r="O342" s="29" t="s">
        <v>4386</v>
      </c>
      <c r="P342" s="126">
        <v>340</v>
      </c>
      <c r="Q342" t="str">
        <f t="shared" si="5"/>
        <v>ONSHOREROYALTIESLLCPOBOX2326VICTORIA</v>
      </c>
    </row>
    <row r="343" spans="1:17" x14ac:dyDescent="0.25">
      <c r="A343" s="29"/>
      <c r="B343" s="29"/>
      <c r="C343" s="94" t="s">
        <v>2400</v>
      </c>
      <c r="D343" s="111" t="s">
        <v>2401</v>
      </c>
      <c r="E343" s="29"/>
      <c r="F343" s="111" t="s">
        <v>523</v>
      </c>
      <c r="G343" s="111" t="s">
        <v>80</v>
      </c>
      <c r="H343" s="111">
        <v>79761</v>
      </c>
      <c r="I343" s="93" t="s">
        <v>62</v>
      </c>
      <c r="J343" s="29"/>
      <c r="K343" s="110">
        <v>0</v>
      </c>
      <c r="L343" s="110">
        <v>3</v>
      </c>
      <c r="M343" s="110">
        <v>0</v>
      </c>
      <c r="N343" s="110">
        <v>355</v>
      </c>
      <c r="O343" s="29" t="s">
        <v>4386</v>
      </c>
      <c r="P343" s="126">
        <v>341</v>
      </c>
      <c r="Q343" t="str">
        <f t="shared" si="5"/>
        <v>ORBRIELUMAN1352PAGEWOODAVEODESSA</v>
      </c>
    </row>
    <row r="344" spans="1:17" x14ac:dyDescent="0.25">
      <c r="A344" s="29"/>
      <c r="B344" s="29" t="s">
        <v>4515</v>
      </c>
      <c r="C344" s="99" t="s">
        <v>2402</v>
      </c>
      <c r="D344" s="100" t="s">
        <v>2403</v>
      </c>
      <c r="E344" s="29"/>
      <c r="F344" s="93" t="s">
        <v>153</v>
      </c>
      <c r="G344" s="93" t="s">
        <v>80</v>
      </c>
      <c r="H344" s="93">
        <v>79705</v>
      </c>
      <c r="I344" s="93" t="s">
        <v>62</v>
      </c>
      <c r="J344" s="29"/>
      <c r="K344" s="110">
        <v>0</v>
      </c>
      <c r="L344" s="110">
        <v>0</v>
      </c>
      <c r="M344" s="110">
        <v>0</v>
      </c>
      <c r="N344" s="110">
        <v>0</v>
      </c>
      <c r="O344" s="29" t="s">
        <v>4385</v>
      </c>
      <c r="P344" s="126">
        <v>342</v>
      </c>
      <c r="Q344" t="str">
        <f t="shared" si="5"/>
        <v>ORYXDELAWAREOILTRANSPORTLLC4000NBIGSPRINGSTMIDLAND</v>
      </c>
    </row>
    <row r="345" spans="1:17" x14ac:dyDescent="0.25">
      <c r="A345" s="29"/>
      <c r="B345" s="29"/>
      <c r="C345" s="99" t="s">
        <v>2407</v>
      </c>
      <c r="D345" s="100" t="s">
        <v>2408</v>
      </c>
      <c r="E345" s="29"/>
      <c r="F345" s="93" t="s">
        <v>153</v>
      </c>
      <c r="G345" s="93" t="s">
        <v>80</v>
      </c>
      <c r="H345" s="93">
        <v>79710</v>
      </c>
      <c r="I345" s="93" t="s">
        <v>62</v>
      </c>
      <c r="J345" s="29"/>
      <c r="K345" s="110">
        <v>0</v>
      </c>
      <c r="L345" s="110">
        <v>0</v>
      </c>
      <c r="M345" s="110">
        <v>0</v>
      </c>
      <c r="N345" s="110">
        <v>0</v>
      </c>
      <c r="O345" s="29" t="s">
        <v>4385</v>
      </c>
      <c r="P345" s="126">
        <v>343</v>
      </c>
      <c r="Q345" t="str">
        <f t="shared" si="5"/>
        <v>ORYXMIDSTREAMSERVICESLLCPOBOX51492MIDLAND</v>
      </c>
    </row>
    <row r="346" spans="1:17" x14ac:dyDescent="0.25">
      <c r="A346" s="29"/>
      <c r="B346" s="29"/>
      <c r="C346" s="94" t="s">
        <v>2411</v>
      </c>
      <c r="D346" s="111" t="s">
        <v>2412</v>
      </c>
      <c r="E346" s="29"/>
      <c r="F346" s="111" t="s">
        <v>532</v>
      </c>
      <c r="G346" s="111" t="s">
        <v>80</v>
      </c>
      <c r="H346" s="111">
        <v>78217</v>
      </c>
      <c r="I346" s="93" t="s">
        <v>62</v>
      </c>
      <c r="J346" s="29"/>
      <c r="K346" s="110">
        <v>1</v>
      </c>
      <c r="L346" s="110">
        <v>0</v>
      </c>
      <c r="M346" s="110">
        <v>0</v>
      </c>
      <c r="N346" s="110">
        <v>7127</v>
      </c>
      <c r="O346" s="29" t="s">
        <v>4386</v>
      </c>
      <c r="P346" s="126">
        <v>344</v>
      </c>
      <c r="Q346" t="str">
        <f t="shared" si="5"/>
        <v>OSBORNHEIRSCOPOBOX17968SANANTONIO</v>
      </c>
    </row>
    <row r="347" spans="1:17" x14ac:dyDescent="0.25">
      <c r="A347" s="29" t="s">
        <v>4516</v>
      </c>
      <c r="B347" s="29" t="s">
        <v>4517</v>
      </c>
      <c r="C347" s="113" t="s">
        <v>4518</v>
      </c>
      <c r="D347" s="100" t="s">
        <v>2391</v>
      </c>
      <c r="E347" s="29"/>
      <c r="F347" s="93" t="s">
        <v>112</v>
      </c>
      <c r="G347" s="93" t="s">
        <v>80</v>
      </c>
      <c r="H347" s="93">
        <v>77046</v>
      </c>
      <c r="I347" s="93" t="s">
        <v>62</v>
      </c>
      <c r="J347" s="29"/>
      <c r="K347" s="114">
        <v>675</v>
      </c>
      <c r="L347" s="114">
        <v>958</v>
      </c>
      <c r="M347" s="114">
        <v>173930415</v>
      </c>
      <c r="N347" s="114">
        <v>56203515</v>
      </c>
      <c r="O347" s="29" t="s">
        <v>4386</v>
      </c>
      <c r="P347" s="126">
        <v>345</v>
      </c>
      <c r="Q347" t="str">
        <f t="shared" si="5"/>
        <v>OXYUSAINC5GREENWAYPLAZAHOUSTON</v>
      </c>
    </row>
    <row r="348" spans="1:17" x14ac:dyDescent="0.25">
      <c r="A348" s="29"/>
      <c r="B348" s="29"/>
      <c r="C348" s="94" t="s">
        <v>2423</v>
      </c>
      <c r="D348" s="111" t="s">
        <v>2424</v>
      </c>
      <c r="E348" s="29"/>
      <c r="F348" s="111" t="s">
        <v>153</v>
      </c>
      <c r="G348" s="111" t="s">
        <v>80</v>
      </c>
      <c r="H348" s="111">
        <v>79701</v>
      </c>
      <c r="I348" s="93" t="s">
        <v>62</v>
      </c>
      <c r="J348" s="29"/>
      <c r="K348" s="110">
        <v>21</v>
      </c>
      <c r="L348" s="110">
        <v>37</v>
      </c>
      <c r="M348" s="110">
        <v>1312649</v>
      </c>
      <c r="N348" s="110">
        <v>0</v>
      </c>
      <c r="O348" s="29" t="s">
        <v>4386</v>
      </c>
      <c r="P348" s="126">
        <v>346</v>
      </c>
      <c r="Q348" t="str">
        <f t="shared" si="5"/>
        <v>PARALLELPETROLEUMLLC1004NBIGSPRINGMIDLAND</v>
      </c>
    </row>
    <row r="349" spans="1:17" x14ac:dyDescent="0.25">
      <c r="A349" s="29"/>
      <c r="B349" s="29" t="s">
        <v>4472</v>
      </c>
      <c r="C349" s="92" t="s">
        <v>2429</v>
      </c>
      <c r="D349" s="100" t="s">
        <v>2430</v>
      </c>
      <c r="E349" s="29"/>
      <c r="F349" s="93" t="s">
        <v>153</v>
      </c>
      <c r="G349" s="93" t="s">
        <v>80</v>
      </c>
      <c r="H349" s="93">
        <v>79701</v>
      </c>
      <c r="I349" s="93" t="s">
        <v>62</v>
      </c>
      <c r="J349" s="29"/>
      <c r="K349" s="110">
        <v>0</v>
      </c>
      <c r="L349" s="110">
        <v>0</v>
      </c>
      <c r="M349" s="110">
        <v>0</v>
      </c>
      <c r="N349" s="110">
        <v>0</v>
      </c>
      <c r="O349" s="29" t="s">
        <v>4385</v>
      </c>
      <c r="P349" s="126">
        <v>347</v>
      </c>
      <c r="Q349" t="str">
        <f t="shared" si="5"/>
        <v>PARKER&amp;PARSLEY600WILLINOISMIDLAND</v>
      </c>
    </row>
    <row r="350" spans="1:17" x14ac:dyDescent="0.25">
      <c r="A350" s="29"/>
      <c r="B350" s="29"/>
      <c r="C350" s="94" t="s">
        <v>2434</v>
      </c>
      <c r="D350" s="111" t="s">
        <v>2435</v>
      </c>
      <c r="E350" s="29"/>
      <c r="F350" s="111" t="s">
        <v>83</v>
      </c>
      <c r="G350" s="111" t="s">
        <v>84</v>
      </c>
      <c r="H350" s="111">
        <v>88210</v>
      </c>
      <c r="I350" s="93" t="s">
        <v>62</v>
      </c>
      <c r="J350" s="29"/>
      <c r="K350" s="110">
        <v>0</v>
      </c>
      <c r="L350" s="110">
        <v>2</v>
      </c>
      <c r="M350" s="110">
        <v>0</v>
      </c>
      <c r="N350" s="110">
        <v>57</v>
      </c>
      <c r="O350" s="29" t="s">
        <v>4386</v>
      </c>
      <c r="P350" s="126">
        <v>348</v>
      </c>
      <c r="Q350" t="str">
        <f t="shared" si="5"/>
        <v>PARRISHHDWANE&amp;RHONDAK1306S9THSTARTESIA</v>
      </c>
    </row>
    <row r="351" spans="1:17" x14ac:dyDescent="0.25">
      <c r="A351" s="29"/>
      <c r="B351" s="29" t="s">
        <v>4472</v>
      </c>
      <c r="C351" s="92" t="s">
        <v>2440</v>
      </c>
      <c r="D351" s="100" t="s">
        <v>2441</v>
      </c>
      <c r="E351" s="29"/>
      <c r="F351" s="93" t="s">
        <v>123</v>
      </c>
      <c r="G351" s="93" t="s">
        <v>84</v>
      </c>
      <c r="H351" s="93">
        <v>87402</v>
      </c>
      <c r="I351" s="93" t="s">
        <v>62</v>
      </c>
      <c r="J351" s="29"/>
      <c r="K351" s="110">
        <v>0</v>
      </c>
      <c r="L351" s="110">
        <v>0</v>
      </c>
      <c r="M351" s="110">
        <v>0</v>
      </c>
      <c r="N351" s="110">
        <v>0</v>
      </c>
      <c r="O351" s="29" t="s">
        <v>4385</v>
      </c>
      <c r="P351" s="126">
        <v>349</v>
      </c>
      <c r="Q351" t="str">
        <f t="shared" si="5"/>
        <v>PEAKCOMPRESSIONSERVICESINC4705SAMANTHALANEFARMINGTON</v>
      </c>
    </row>
    <row r="352" spans="1:17" x14ac:dyDescent="0.25">
      <c r="A352" s="29"/>
      <c r="B352" s="29" t="s">
        <v>4472</v>
      </c>
      <c r="C352" s="92" t="s">
        <v>2451</v>
      </c>
      <c r="D352" s="100" t="s">
        <v>2452</v>
      </c>
      <c r="E352" s="29"/>
      <c r="F352" s="93" t="s">
        <v>153</v>
      </c>
      <c r="G352" s="93" t="s">
        <v>80</v>
      </c>
      <c r="H352" s="93">
        <v>79701</v>
      </c>
      <c r="I352" s="93" t="s">
        <v>62</v>
      </c>
      <c r="J352" s="29"/>
      <c r="K352" s="110">
        <v>0</v>
      </c>
      <c r="L352" s="110">
        <v>0</v>
      </c>
      <c r="M352" s="110">
        <v>0</v>
      </c>
      <c r="N352" s="110">
        <v>0</v>
      </c>
      <c r="O352" s="29" t="s">
        <v>4385</v>
      </c>
      <c r="P352" s="126">
        <v>350</v>
      </c>
      <c r="Q352" t="str">
        <f t="shared" si="5"/>
        <v>PECOSPRODUCTIONCO400WESTILLINOISMIDLAND</v>
      </c>
    </row>
    <row r="353" spans="1:17" x14ac:dyDescent="0.25">
      <c r="A353" s="29"/>
      <c r="B353" s="29"/>
      <c r="C353" s="94" t="s">
        <v>2458</v>
      </c>
      <c r="D353" s="111" t="s">
        <v>2459</v>
      </c>
      <c r="E353" s="29"/>
      <c r="F353" s="111" t="s">
        <v>209</v>
      </c>
      <c r="G353" s="111" t="s">
        <v>84</v>
      </c>
      <c r="H353" s="111">
        <v>88202</v>
      </c>
      <c r="I353" s="93" t="s">
        <v>62</v>
      </c>
      <c r="J353" s="29"/>
      <c r="K353" s="110">
        <v>4</v>
      </c>
      <c r="L353" s="110">
        <v>30</v>
      </c>
      <c r="M353" s="110">
        <v>261289</v>
      </c>
      <c r="N353" s="110">
        <v>0</v>
      </c>
      <c r="O353" s="29" t="s">
        <v>4386</v>
      </c>
      <c r="P353" s="126">
        <v>351</v>
      </c>
      <c r="Q353" t="str">
        <f t="shared" si="5"/>
        <v>PECOSRIVEROPINCPOBOX1755ROSWELL</v>
      </c>
    </row>
    <row r="354" spans="1:17" x14ac:dyDescent="0.25">
      <c r="A354" s="29"/>
      <c r="B354" s="29"/>
      <c r="C354" s="94" t="s">
        <v>2460</v>
      </c>
      <c r="D354" s="100" t="s">
        <v>2461</v>
      </c>
      <c r="E354" s="29"/>
      <c r="F354" s="93" t="s">
        <v>206</v>
      </c>
      <c r="G354" s="93" t="s">
        <v>84</v>
      </c>
      <c r="H354" s="93">
        <v>88240</v>
      </c>
      <c r="I354" s="93" t="s">
        <v>62</v>
      </c>
      <c r="J354" s="29"/>
      <c r="K354" s="110">
        <v>40</v>
      </c>
      <c r="L354" s="110">
        <v>228</v>
      </c>
      <c r="M354" s="110">
        <v>2964554</v>
      </c>
      <c r="N354" s="110">
        <v>267965</v>
      </c>
      <c r="O354" s="29" t="s">
        <v>4386</v>
      </c>
      <c r="P354" s="126">
        <v>352</v>
      </c>
      <c r="Q354" t="str">
        <f t="shared" si="5"/>
        <v>PENROCOILCORP1515CALLESURHOBBS</v>
      </c>
    </row>
    <row r="355" spans="1:17" x14ac:dyDescent="0.25">
      <c r="A355" s="29"/>
      <c r="B355" s="29"/>
      <c r="C355" s="94" t="s">
        <v>2469</v>
      </c>
      <c r="D355" s="111" t="s">
        <v>2470</v>
      </c>
      <c r="E355" s="29"/>
      <c r="F355" s="111" t="s">
        <v>378</v>
      </c>
      <c r="G355" s="111" t="s">
        <v>80</v>
      </c>
      <c r="H355" s="111">
        <v>75252</v>
      </c>
      <c r="I355" s="93" t="s">
        <v>62</v>
      </c>
      <c r="J355" s="29"/>
      <c r="K355" s="110">
        <v>1</v>
      </c>
      <c r="L355" s="110">
        <v>13</v>
      </c>
      <c r="M355" s="110">
        <v>1624</v>
      </c>
      <c r="N355" s="110">
        <v>1300</v>
      </c>
      <c r="O355" s="29" t="s">
        <v>4386</v>
      </c>
      <c r="P355" s="126">
        <v>353</v>
      </c>
      <c r="Q355" t="str">
        <f t="shared" si="5"/>
        <v>PERMEXPETROLEUMCOMPANYLLC5715WILLOWWOODLNDALLAS</v>
      </c>
    </row>
    <row r="356" spans="1:17" x14ac:dyDescent="0.25">
      <c r="A356" s="29"/>
      <c r="B356" s="29"/>
      <c r="C356" s="94" t="s">
        <v>2471</v>
      </c>
      <c r="D356" s="111" t="s">
        <v>2472</v>
      </c>
      <c r="E356" s="29"/>
      <c r="F356" s="111" t="s">
        <v>2473</v>
      </c>
      <c r="G356" s="111" t="s">
        <v>80</v>
      </c>
      <c r="H356" s="111">
        <v>76424</v>
      </c>
      <c r="I356" s="93" t="s">
        <v>62</v>
      </c>
      <c r="J356" s="29"/>
      <c r="K356" s="110">
        <v>12</v>
      </c>
      <c r="L356" s="110">
        <v>75</v>
      </c>
      <c r="M356" s="110">
        <v>609704</v>
      </c>
      <c r="N356" s="110">
        <v>65548</v>
      </c>
      <c r="O356" s="29" t="s">
        <v>4386</v>
      </c>
      <c r="P356" s="126">
        <v>354</v>
      </c>
      <c r="Q356" t="str">
        <f t="shared" si="5"/>
        <v>PETROLEUMEXPLORATIONCOMPANYLTDLIMITEDPPOBOX548BRECKENRIDGE</v>
      </c>
    </row>
    <row r="357" spans="1:17" x14ac:dyDescent="0.25">
      <c r="A357" s="29"/>
      <c r="B357" s="29"/>
      <c r="C357" s="94" t="s">
        <v>2480</v>
      </c>
      <c r="D357" s="111" t="s">
        <v>2481</v>
      </c>
      <c r="E357" s="29"/>
      <c r="F357" s="111" t="s">
        <v>112</v>
      </c>
      <c r="G357" s="111" t="s">
        <v>80</v>
      </c>
      <c r="H357" s="111">
        <v>77024</v>
      </c>
      <c r="I357" s="93" t="s">
        <v>62</v>
      </c>
      <c r="J357" s="29"/>
      <c r="K357" s="110">
        <v>0</v>
      </c>
      <c r="L357" s="110">
        <v>14</v>
      </c>
      <c r="M357" s="110">
        <v>0</v>
      </c>
      <c r="N357" s="110">
        <v>114</v>
      </c>
      <c r="O357" s="29" t="s">
        <v>4386</v>
      </c>
      <c r="P357" s="126">
        <v>355</v>
      </c>
      <c r="Q357" t="str">
        <f t="shared" si="5"/>
        <v>PETROLIAENERGYCORPORATION710NPOSTOAKRDHOUSTON</v>
      </c>
    </row>
    <row r="358" spans="1:17" x14ac:dyDescent="0.25">
      <c r="A358" s="29"/>
      <c r="B358" s="29" t="s">
        <v>4472</v>
      </c>
      <c r="C358" s="92" t="s">
        <v>2488</v>
      </c>
      <c r="D358" s="100" t="s">
        <v>2489</v>
      </c>
      <c r="E358" s="29"/>
      <c r="F358" s="93" t="s">
        <v>137</v>
      </c>
      <c r="G358" s="93" t="s">
        <v>80</v>
      </c>
      <c r="H358" s="93">
        <v>79101</v>
      </c>
      <c r="I358" s="93" t="s">
        <v>62</v>
      </c>
      <c r="J358" s="29"/>
      <c r="K358" s="110">
        <v>0</v>
      </c>
      <c r="L358" s="110">
        <v>0</v>
      </c>
      <c r="M358" s="110">
        <v>0</v>
      </c>
      <c r="N358" s="110">
        <v>0</v>
      </c>
      <c r="O358" s="29" t="s">
        <v>4385</v>
      </c>
      <c r="P358" s="126">
        <v>356</v>
      </c>
      <c r="Q358" t="str">
        <f t="shared" si="5"/>
        <v>PHILLIPS66PIPELINELLC905SFILLMORESTAMARILLO</v>
      </c>
    </row>
    <row r="359" spans="1:17" x14ac:dyDescent="0.25">
      <c r="A359" s="29"/>
      <c r="B359" s="29" t="s">
        <v>4472</v>
      </c>
      <c r="C359" s="92" t="s">
        <v>2494</v>
      </c>
      <c r="D359" s="100" t="s">
        <v>2495</v>
      </c>
      <c r="E359" s="29"/>
      <c r="F359" s="93" t="s">
        <v>123</v>
      </c>
      <c r="G359" s="93" t="s">
        <v>84</v>
      </c>
      <c r="H359" s="93">
        <v>87401</v>
      </c>
      <c r="I359" s="93" t="s">
        <v>62</v>
      </c>
      <c r="J359" s="29"/>
      <c r="K359" s="110">
        <v>0</v>
      </c>
      <c r="L359" s="110">
        <v>0</v>
      </c>
      <c r="M359" s="110">
        <v>0</v>
      </c>
      <c r="N359" s="110">
        <v>0</v>
      </c>
      <c r="O359" s="29" t="s">
        <v>4385</v>
      </c>
      <c r="P359" s="126">
        <v>357</v>
      </c>
      <c r="Q359" t="str">
        <f t="shared" si="5"/>
        <v>PHILLIPSPETROLEUMCO5525HWY64FARMINGTON</v>
      </c>
    </row>
    <row r="360" spans="1:17" x14ac:dyDescent="0.25">
      <c r="A360" s="29"/>
      <c r="B360" s="29"/>
      <c r="C360" s="94" t="s">
        <v>2496</v>
      </c>
      <c r="D360" s="111" t="s">
        <v>2497</v>
      </c>
      <c r="E360" s="29"/>
      <c r="F360" s="111" t="s">
        <v>153</v>
      </c>
      <c r="G360" s="111" t="s">
        <v>80</v>
      </c>
      <c r="H360" s="111">
        <v>79705</v>
      </c>
      <c r="I360" s="93" t="s">
        <v>62</v>
      </c>
      <c r="J360" s="29"/>
      <c r="K360" s="110">
        <v>3</v>
      </c>
      <c r="L360" s="110">
        <v>27</v>
      </c>
      <c r="M360" s="110">
        <v>344921</v>
      </c>
      <c r="N360" s="110">
        <v>408</v>
      </c>
      <c r="O360" s="29" t="s">
        <v>4386</v>
      </c>
      <c r="P360" s="126">
        <v>358</v>
      </c>
      <c r="Q360" t="str">
        <f t="shared" si="5"/>
        <v>PHOENIXHYDROCARBONSOPERATINGCORPPOBOX3638MIDLAND</v>
      </c>
    </row>
    <row r="361" spans="1:17" x14ac:dyDescent="0.25">
      <c r="A361" s="29"/>
      <c r="B361" s="29"/>
      <c r="C361" s="94" t="s">
        <v>2503</v>
      </c>
      <c r="D361" s="111" t="s">
        <v>2504</v>
      </c>
      <c r="E361" s="29"/>
      <c r="F361" s="111" t="s">
        <v>513</v>
      </c>
      <c r="G361" s="111" t="s">
        <v>84</v>
      </c>
      <c r="H361" s="111">
        <v>88231</v>
      </c>
      <c r="I361" s="93" t="s">
        <v>62</v>
      </c>
      <c r="J361" s="29"/>
      <c r="K361" s="110">
        <v>0</v>
      </c>
      <c r="L361" s="110">
        <v>5</v>
      </c>
      <c r="M361" s="110">
        <v>15368</v>
      </c>
      <c r="N361" s="110">
        <v>4544</v>
      </c>
      <c r="O361" s="29" t="s">
        <v>4386</v>
      </c>
      <c r="P361" s="126">
        <v>359</v>
      </c>
      <c r="Q361" t="str">
        <f t="shared" si="5"/>
        <v>PIERCEPRODUCTIONCOMPANYLLCPOBOX1969EUNICE</v>
      </c>
    </row>
    <row r="362" spans="1:17" x14ac:dyDescent="0.25">
      <c r="A362" s="29"/>
      <c r="B362" s="29"/>
      <c r="C362" s="94" t="s">
        <v>2511</v>
      </c>
      <c r="D362" s="111" t="s">
        <v>2512</v>
      </c>
      <c r="E362" s="29"/>
      <c r="F362" s="111" t="s">
        <v>153</v>
      </c>
      <c r="G362" s="111" t="s">
        <v>80</v>
      </c>
      <c r="H362" s="111">
        <v>79707</v>
      </c>
      <c r="I362" s="93" t="s">
        <v>62</v>
      </c>
      <c r="J362" s="29"/>
      <c r="K362" s="110">
        <v>1</v>
      </c>
      <c r="L362" s="110">
        <v>0</v>
      </c>
      <c r="M362" s="110">
        <v>17472</v>
      </c>
      <c r="N362" s="110">
        <v>19695</v>
      </c>
      <c r="O362" s="29" t="s">
        <v>4386</v>
      </c>
      <c r="P362" s="126">
        <v>360</v>
      </c>
      <c r="Q362" t="str">
        <f t="shared" si="5"/>
        <v>PITTSENERGYCO600NMARIENFIELD#101MIDLAND</v>
      </c>
    </row>
    <row r="363" spans="1:17" x14ac:dyDescent="0.25">
      <c r="A363" s="29"/>
      <c r="B363" s="29" t="s">
        <v>4472</v>
      </c>
      <c r="C363" s="92" t="s">
        <v>2513</v>
      </c>
      <c r="D363" s="100" t="s">
        <v>899</v>
      </c>
      <c r="E363" s="29"/>
      <c r="F363" s="93" t="s">
        <v>153</v>
      </c>
      <c r="G363" s="93" t="s">
        <v>80</v>
      </c>
      <c r="H363" s="93">
        <v>79705</v>
      </c>
      <c r="I363" s="93" t="s">
        <v>62</v>
      </c>
      <c r="J363" s="29"/>
      <c r="K363" s="110">
        <v>0</v>
      </c>
      <c r="L363" s="110">
        <v>0</v>
      </c>
      <c r="M363" s="110">
        <v>0</v>
      </c>
      <c r="N363" s="110">
        <v>0</v>
      </c>
      <c r="O363" s="29" t="s">
        <v>4385</v>
      </c>
      <c r="P363" s="126">
        <v>361</v>
      </c>
      <c r="Q363" t="str">
        <f t="shared" si="5"/>
        <v>PLAINSMARKETINGLP10DESTADRIVEMIDLAND</v>
      </c>
    </row>
    <row r="364" spans="1:17" x14ac:dyDescent="0.25">
      <c r="A364" s="29"/>
      <c r="B364" s="29"/>
      <c r="C364" s="94" t="s">
        <v>2514</v>
      </c>
      <c r="D364" s="111" t="s">
        <v>2515</v>
      </c>
      <c r="E364" s="29"/>
      <c r="F364" s="111" t="s">
        <v>153</v>
      </c>
      <c r="G364" s="111" t="s">
        <v>80</v>
      </c>
      <c r="H364" s="111">
        <v>79703</v>
      </c>
      <c r="I364" s="93" t="s">
        <v>62</v>
      </c>
      <c r="J364" s="29"/>
      <c r="K364" s="110">
        <v>0</v>
      </c>
      <c r="L364" s="110">
        <v>1</v>
      </c>
      <c r="M364" s="110">
        <v>181</v>
      </c>
      <c r="N364" s="110">
        <v>0</v>
      </c>
      <c r="O364" s="29" t="s">
        <v>4386</v>
      </c>
      <c r="P364" s="126">
        <v>362</v>
      </c>
      <c r="Q364" t="str">
        <f t="shared" si="5"/>
        <v>PLAINSRADIOPETCO3317ANDREWSHWYMIDLAND</v>
      </c>
    </row>
    <row r="365" spans="1:17" x14ac:dyDescent="0.25">
      <c r="A365" s="29"/>
      <c r="B365" s="29"/>
      <c r="C365" s="94" t="s">
        <v>2516</v>
      </c>
      <c r="D365" s="111" t="s">
        <v>2517</v>
      </c>
      <c r="E365" s="29"/>
      <c r="F365" s="111" t="s">
        <v>2518</v>
      </c>
      <c r="G365" s="111" t="s">
        <v>2519</v>
      </c>
      <c r="H365" s="111">
        <v>82602</v>
      </c>
      <c r="I365" s="93" t="s">
        <v>62</v>
      </c>
      <c r="J365" s="29"/>
      <c r="K365" s="110">
        <v>0</v>
      </c>
      <c r="L365" s="110">
        <v>1</v>
      </c>
      <c r="M365" s="110">
        <v>10154</v>
      </c>
      <c r="N365" s="110">
        <v>0</v>
      </c>
      <c r="O365" s="29" t="s">
        <v>4386</v>
      </c>
      <c r="P365" s="126">
        <v>363</v>
      </c>
      <c r="Q365" t="str">
        <f t="shared" si="5"/>
        <v>PNLOPERATINGLLCPOBOX831CASPER</v>
      </c>
    </row>
    <row r="366" spans="1:17" x14ac:dyDescent="0.25">
      <c r="A366" s="29"/>
      <c r="B366" s="29"/>
      <c r="C366" s="94" t="s">
        <v>2526</v>
      </c>
      <c r="D366" s="111" t="s">
        <v>2527</v>
      </c>
      <c r="E366" s="29"/>
      <c r="F366" s="111" t="s">
        <v>83</v>
      </c>
      <c r="G366" s="111" t="s">
        <v>84</v>
      </c>
      <c r="H366" s="111">
        <v>88210</v>
      </c>
      <c r="I366" s="93" t="s">
        <v>62</v>
      </c>
      <c r="J366" s="29"/>
      <c r="K366" s="110">
        <v>2</v>
      </c>
      <c r="L366" s="110">
        <v>49</v>
      </c>
      <c r="M366" s="110">
        <v>28408</v>
      </c>
      <c r="N366" s="110">
        <v>10547</v>
      </c>
      <c r="O366" s="29" t="s">
        <v>4386</v>
      </c>
      <c r="P366" s="126">
        <v>364</v>
      </c>
      <c r="Q366" t="str">
        <f t="shared" si="5"/>
        <v>POCORESOURCESLLC3307ECASTLEBERRYROADARTESIA</v>
      </c>
    </row>
    <row r="367" spans="1:17" x14ac:dyDescent="0.25">
      <c r="A367" s="29"/>
      <c r="B367" s="29"/>
      <c r="C367" s="94" t="s">
        <v>2532</v>
      </c>
      <c r="D367" s="111" t="s">
        <v>2533</v>
      </c>
      <c r="E367" s="29"/>
      <c r="F367" s="111" t="s">
        <v>2203</v>
      </c>
      <c r="G367" s="111" t="s">
        <v>80</v>
      </c>
      <c r="H367" s="111">
        <v>75083</v>
      </c>
      <c r="I367" s="93" t="s">
        <v>62</v>
      </c>
      <c r="J367" s="29"/>
      <c r="K367" s="110">
        <v>5</v>
      </c>
      <c r="L367" s="110">
        <v>102</v>
      </c>
      <c r="M367" s="110">
        <v>1192534</v>
      </c>
      <c r="N367" s="110">
        <v>156558</v>
      </c>
      <c r="O367" s="29" t="s">
        <v>4386</v>
      </c>
      <c r="P367" s="126">
        <v>365</v>
      </c>
      <c r="Q367" t="str">
        <f t="shared" si="5"/>
        <v>PREMIEROIL&amp;GASINCPOBOX837205RICHARDSON</v>
      </c>
    </row>
    <row r="368" spans="1:17" x14ac:dyDescent="0.25">
      <c r="A368" s="29"/>
      <c r="B368" s="29"/>
      <c r="C368" s="94" t="s">
        <v>2539</v>
      </c>
      <c r="D368" s="111" t="s">
        <v>2540</v>
      </c>
      <c r="E368" s="29"/>
      <c r="F368" s="111" t="s">
        <v>183</v>
      </c>
      <c r="G368" s="111" t="s">
        <v>184</v>
      </c>
      <c r="H368" s="111" t="s">
        <v>2541</v>
      </c>
      <c r="I368" s="93" t="s">
        <v>62</v>
      </c>
      <c r="J368" s="29"/>
      <c r="K368" s="110">
        <v>5</v>
      </c>
      <c r="L368" s="110">
        <v>27</v>
      </c>
      <c r="M368" s="110">
        <v>74837</v>
      </c>
      <c r="N368" s="110">
        <v>20171</v>
      </c>
      <c r="O368" s="29" t="s">
        <v>4386</v>
      </c>
      <c r="P368" s="126">
        <v>366</v>
      </c>
      <c r="Q368" t="str">
        <f t="shared" si="5"/>
        <v>PRIDEENERGYCOMPANYPOBOX701950TULSA</v>
      </c>
    </row>
    <row r="369" spans="1:17" x14ac:dyDescent="0.25">
      <c r="A369" s="29"/>
      <c r="B369" s="29" t="s">
        <v>4472</v>
      </c>
      <c r="C369" s="92" t="s">
        <v>2547</v>
      </c>
      <c r="D369" s="100" t="s">
        <v>2548</v>
      </c>
      <c r="E369" s="29"/>
      <c r="F369" s="93" t="s">
        <v>1100</v>
      </c>
      <c r="G369" s="93" t="s">
        <v>80</v>
      </c>
      <c r="H369" s="93">
        <v>795523</v>
      </c>
      <c r="I369" s="93" t="s">
        <v>62</v>
      </c>
      <c r="J369" s="29"/>
      <c r="K369" s="110">
        <v>0</v>
      </c>
      <c r="L369" s="110">
        <v>0</v>
      </c>
      <c r="M369" s="110">
        <v>0</v>
      </c>
      <c r="N369" s="110">
        <v>0</v>
      </c>
      <c r="O369" s="29" t="s">
        <v>4385</v>
      </c>
      <c r="P369" s="126">
        <v>367</v>
      </c>
      <c r="Q369" t="str">
        <f t="shared" si="5"/>
        <v>PRIDEPIPELINE3223SLOOP289LUBBOCK</v>
      </c>
    </row>
    <row r="370" spans="1:17" x14ac:dyDescent="0.25">
      <c r="A370" s="29"/>
      <c r="B370" s="29"/>
      <c r="C370" s="94" t="s">
        <v>2554</v>
      </c>
      <c r="D370" s="111" t="s">
        <v>2555</v>
      </c>
      <c r="E370" s="29"/>
      <c r="F370" s="111" t="s">
        <v>60</v>
      </c>
      <c r="G370" s="111" t="s">
        <v>61</v>
      </c>
      <c r="H370" s="111">
        <v>80206</v>
      </c>
      <c r="I370" s="93" t="s">
        <v>62</v>
      </c>
      <c r="J370" s="29"/>
      <c r="K370" s="110">
        <v>13</v>
      </c>
      <c r="L370" s="110">
        <v>7</v>
      </c>
      <c r="M370" s="110">
        <v>497813</v>
      </c>
      <c r="N370" s="110">
        <v>313416</v>
      </c>
      <c r="O370" s="29" t="s">
        <v>4386</v>
      </c>
      <c r="P370" s="126">
        <v>368</v>
      </c>
      <c r="Q370" t="str">
        <f t="shared" si="5"/>
        <v>PRIMAEXPLORATIONINC250FILLMORESTREETDENVER</v>
      </c>
    </row>
    <row r="371" spans="1:17" x14ac:dyDescent="0.25">
      <c r="A371" s="29"/>
      <c r="B371" s="29"/>
      <c r="C371" s="94" t="s">
        <v>2561</v>
      </c>
      <c r="D371" s="111" t="s">
        <v>2562</v>
      </c>
      <c r="E371" s="29"/>
      <c r="F371" s="111" t="s">
        <v>153</v>
      </c>
      <c r="G371" s="111" t="s">
        <v>80</v>
      </c>
      <c r="H371" s="111">
        <v>79705</v>
      </c>
      <c r="I371" s="93" t="s">
        <v>62</v>
      </c>
      <c r="J371" s="29"/>
      <c r="K371" s="110">
        <v>3</v>
      </c>
      <c r="L371" s="110">
        <v>2</v>
      </c>
      <c r="M371" s="110">
        <v>61161</v>
      </c>
      <c r="N371" s="110">
        <v>1788</v>
      </c>
      <c r="O371" s="29" t="s">
        <v>4386</v>
      </c>
      <c r="P371" s="126">
        <v>369</v>
      </c>
      <c r="Q371" t="str">
        <f t="shared" si="5"/>
        <v>PRIMEOPERATINGCO3300NASTREETMIDLAND</v>
      </c>
    </row>
    <row r="372" spans="1:17" x14ac:dyDescent="0.25">
      <c r="A372" s="29"/>
      <c r="B372" s="29"/>
      <c r="C372" s="94" t="s">
        <v>2569</v>
      </c>
      <c r="D372" s="111" t="s">
        <v>2570</v>
      </c>
      <c r="E372" s="29"/>
      <c r="F372" s="111" t="s">
        <v>209</v>
      </c>
      <c r="G372" s="111" t="s">
        <v>84</v>
      </c>
      <c r="H372" s="111">
        <v>88201</v>
      </c>
      <c r="I372" s="93" t="s">
        <v>62</v>
      </c>
      <c r="J372" s="29"/>
      <c r="K372" s="110">
        <v>0</v>
      </c>
      <c r="L372" s="110">
        <v>16</v>
      </c>
      <c r="M372" s="110">
        <v>98619</v>
      </c>
      <c r="N372" s="110">
        <v>21048</v>
      </c>
      <c r="O372" s="29" t="s">
        <v>4386</v>
      </c>
      <c r="P372" s="126">
        <v>370</v>
      </c>
      <c r="Q372" t="str">
        <f t="shared" si="5"/>
        <v>PRIMEROOPERATINGINCPOBOX1433ROSWELL</v>
      </c>
    </row>
    <row r="373" spans="1:17" x14ac:dyDescent="0.25">
      <c r="A373" s="29"/>
      <c r="B373" s="29"/>
      <c r="C373" s="94" t="s">
        <v>2577</v>
      </c>
      <c r="D373" s="106" t="s">
        <v>2578</v>
      </c>
      <c r="E373" s="29"/>
      <c r="F373" s="111" t="s">
        <v>378</v>
      </c>
      <c r="G373" s="111" t="s">
        <v>80</v>
      </c>
      <c r="H373" s="93">
        <v>75240</v>
      </c>
      <c r="I373" s="93" t="s">
        <v>62</v>
      </c>
      <c r="J373" s="29"/>
      <c r="K373" s="110">
        <v>1</v>
      </c>
      <c r="L373" s="110">
        <v>2</v>
      </c>
      <c r="M373" s="110">
        <v>58071</v>
      </c>
      <c r="N373" s="110">
        <v>127</v>
      </c>
      <c r="O373" s="29" t="s">
        <v>4386</v>
      </c>
      <c r="P373" s="126">
        <v>371</v>
      </c>
      <c r="Q373" t="str">
        <f t="shared" si="5"/>
        <v>PROMANAGEMENTINC13601PRESTONRDDALLAS</v>
      </c>
    </row>
    <row r="374" spans="1:17" x14ac:dyDescent="0.25">
      <c r="A374" s="29"/>
      <c r="B374" s="29" t="s">
        <v>4472</v>
      </c>
      <c r="C374" s="92" t="s">
        <v>2585</v>
      </c>
      <c r="D374" s="100" t="s">
        <v>2586</v>
      </c>
      <c r="E374" s="29"/>
      <c r="F374" s="93" t="s">
        <v>123</v>
      </c>
      <c r="G374" s="93" t="s">
        <v>84</v>
      </c>
      <c r="H374" s="93">
        <v>87401</v>
      </c>
      <c r="I374" s="93" t="s">
        <v>62</v>
      </c>
      <c r="J374" s="29"/>
      <c r="K374" s="110">
        <v>0</v>
      </c>
      <c r="L374" s="110">
        <v>0</v>
      </c>
      <c r="M374" s="110">
        <v>0</v>
      </c>
      <c r="N374" s="110">
        <v>0</v>
      </c>
      <c r="O374" s="29" t="s">
        <v>4385</v>
      </c>
      <c r="P374" s="126">
        <v>372</v>
      </c>
      <c r="Q374" t="str">
        <f t="shared" si="5"/>
        <v>PRODUCTIONOPERATORSINC4000LOMASFARMINGTON</v>
      </c>
    </row>
    <row r="375" spans="1:17" x14ac:dyDescent="0.25">
      <c r="A375" s="29"/>
      <c r="B375" s="29"/>
      <c r="C375" s="94" t="s">
        <v>2591</v>
      </c>
      <c r="D375" s="111" t="s">
        <v>2592</v>
      </c>
      <c r="E375" s="111" t="s">
        <v>2593</v>
      </c>
      <c r="F375" s="111" t="s">
        <v>344</v>
      </c>
      <c r="G375" s="111" t="s">
        <v>80</v>
      </c>
      <c r="H375" s="111">
        <v>79714</v>
      </c>
      <c r="I375" s="93" t="s">
        <v>62</v>
      </c>
      <c r="J375" s="29"/>
      <c r="K375" s="110">
        <v>2</v>
      </c>
      <c r="L375" s="110">
        <v>25</v>
      </c>
      <c r="M375" s="110">
        <v>18673</v>
      </c>
      <c r="N375" s="110">
        <v>12780</v>
      </c>
      <c r="O375" s="29" t="s">
        <v>4386</v>
      </c>
      <c r="P375" s="126">
        <v>373</v>
      </c>
      <c r="Q375" t="str">
        <f t="shared" si="5"/>
        <v>PROVIDENCEENERGYSERVSINCKELTONOPCORP2408NWMUSTANGDRANDREWS</v>
      </c>
    </row>
    <row r="376" spans="1:17" x14ac:dyDescent="0.25">
      <c r="A376" s="29"/>
      <c r="B376" s="29"/>
      <c r="C376" s="94" t="s">
        <v>2599</v>
      </c>
      <c r="D376" s="111" t="s">
        <v>2600</v>
      </c>
      <c r="E376" s="29"/>
      <c r="F376" s="111" t="s">
        <v>153</v>
      </c>
      <c r="G376" s="111" t="s">
        <v>80</v>
      </c>
      <c r="H376" s="111">
        <v>797101990</v>
      </c>
      <c r="I376" s="93" t="s">
        <v>62</v>
      </c>
      <c r="J376" s="29"/>
      <c r="K376" s="110">
        <v>2</v>
      </c>
      <c r="L376" s="110">
        <v>1</v>
      </c>
      <c r="M376" s="110">
        <v>30466</v>
      </c>
      <c r="N376" s="110">
        <v>8853</v>
      </c>
      <c r="O376" s="29" t="s">
        <v>4386</v>
      </c>
      <c r="P376" s="126">
        <v>374</v>
      </c>
      <c r="Q376" t="str">
        <f t="shared" si="5"/>
        <v>PURVISOPERATINGCOPOBOX51990MIDLAND</v>
      </c>
    </row>
    <row r="377" spans="1:17" x14ac:dyDescent="0.25">
      <c r="A377" s="29"/>
      <c r="B377" s="29"/>
      <c r="C377" s="94" t="s">
        <v>2606</v>
      </c>
      <c r="D377" s="111" t="s">
        <v>2607</v>
      </c>
      <c r="E377" s="111" t="s">
        <v>2608</v>
      </c>
      <c r="F377" s="111" t="s">
        <v>2609</v>
      </c>
      <c r="G377" s="111" t="s">
        <v>84</v>
      </c>
      <c r="H377" s="111">
        <v>88338</v>
      </c>
      <c r="I377" s="93" t="s">
        <v>62</v>
      </c>
      <c r="J377" s="29"/>
      <c r="K377" s="110">
        <v>0</v>
      </c>
      <c r="L377" s="110">
        <v>62</v>
      </c>
      <c r="M377" s="110">
        <v>0</v>
      </c>
      <c r="N377" s="110">
        <v>20194</v>
      </c>
      <c r="O377" s="29" t="s">
        <v>4386</v>
      </c>
      <c r="P377" s="126">
        <v>375</v>
      </c>
      <c r="Q377" t="str">
        <f t="shared" si="5"/>
        <v>QUATROOSOSE&amp;PLLC1742CALLELAPLACITALINCOLN</v>
      </c>
    </row>
    <row r="378" spans="1:17" x14ac:dyDescent="0.25">
      <c r="A378" s="29"/>
      <c r="B378" s="29"/>
      <c r="C378" s="94" t="s">
        <v>2610</v>
      </c>
      <c r="D378" s="111" t="s">
        <v>2611</v>
      </c>
      <c r="E378" s="29"/>
      <c r="F378" s="111" t="s">
        <v>183</v>
      </c>
      <c r="G378" s="111" t="s">
        <v>184</v>
      </c>
      <c r="H378" s="111">
        <v>74135</v>
      </c>
      <c r="I378" s="93" t="s">
        <v>62</v>
      </c>
      <c r="J378" s="29"/>
      <c r="K378" s="110">
        <v>2</v>
      </c>
      <c r="L378" s="110">
        <v>5</v>
      </c>
      <c r="M378" s="110">
        <v>27967</v>
      </c>
      <c r="N378" s="110">
        <v>13545</v>
      </c>
      <c r="O378" s="29" t="s">
        <v>4386</v>
      </c>
      <c r="P378" s="126">
        <v>376</v>
      </c>
      <c r="Q378" t="str">
        <f t="shared" si="5"/>
        <v>RAMENERGYLLC5100EASTSKELLYDRIVETULSA</v>
      </c>
    </row>
    <row r="379" spans="1:17" x14ac:dyDescent="0.25">
      <c r="A379" s="29"/>
      <c r="B379" s="29" t="s">
        <v>4472</v>
      </c>
      <c r="C379" s="92" t="s">
        <v>2617</v>
      </c>
      <c r="D379" s="93" t="s">
        <v>2618</v>
      </c>
      <c r="E379" s="93" t="s">
        <v>2619</v>
      </c>
      <c r="F379" s="93" t="s">
        <v>2620</v>
      </c>
      <c r="G379" s="93" t="s">
        <v>84</v>
      </c>
      <c r="H379" s="93">
        <v>88256</v>
      </c>
      <c r="I379" s="93" t="s">
        <v>62</v>
      </c>
      <c r="J379" s="29"/>
      <c r="K379" s="110">
        <v>0</v>
      </c>
      <c r="L379" s="110">
        <v>0</v>
      </c>
      <c r="M379" s="110">
        <v>0</v>
      </c>
      <c r="N379" s="110">
        <v>0</v>
      </c>
      <c r="O379" s="29" t="s">
        <v>4385</v>
      </c>
      <c r="P379" s="126">
        <v>377</v>
      </c>
      <c r="Q379" t="str">
        <f t="shared" si="5"/>
        <v>RANGELANDNMLLC71POTASHMINERDLOVING</v>
      </c>
    </row>
    <row r="380" spans="1:17" x14ac:dyDescent="0.25">
      <c r="A380" s="29"/>
      <c r="B380" s="29"/>
      <c r="C380" s="94" t="s">
        <v>2621</v>
      </c>
      <c r="D380" s="111" t="s">
        <v>2622</v>
      </c>
      <c r="E380" s="29"/>
      <c r="F380" s="111" t="s">
        <v>2623</v>
      </c>
      <c r="G380" s="111" t="s">
        <v>80</v>
      </c>
      <c r="H380" s="111">
        <v>78130</v>
      </c>
      <c r="I380" s="93" t="s">
        <v>62</v>
      </c>
      <c r="J380" s="29"/>
      <c r="K380" s="110">
        <v>0</v>
      </c>
      <c r="L380" s="110">
        <v>2</v>
      </c>
      <c r="M380" s="110">
        <v>0</v>
      </c>
      <c r="N380" s="110">
        <v>3627</v>
      </c>
      <c r="O380" s="29" t="s">
        <v>4386</v>
      </c>
      <c r="P380" s="126">
        <v>378</v>
      </c>
      <c r="Q380" t="str">
        <f t="shared" si="5"/>
        <v>RANGER40PETROLEUMLLC244FM306NEWBRAUNFELS</v>
      </c>
    </row>
    <row r="381" spans="1:17" x14ac:dyDescent="0.25">
      <c r="A381" s="29"/>
      <c r="B381" s="29"/>
      <c r="C381" s="94" t="s">
        <v>2624</v>
      </c>
      <c r="D381" s="111" t="s">
        <v>2504</v>
      </c>
      <c r="E381" s="29"/>
      <c r="F381" s="111" t="s">
        <v>513</v>
      </c>
      <c r="G381" s="111" t="s">
        <v>84</v>
      </c>
      <c r="H381" s="111">
        <v>88231</v>
      </c>
      <c r="I381" s="93" t="s">
        <v>62</v>
      </c>
      <c r="J381" s="29"/>
      <c r="K381" s="110">
        <v>0</v>
      </c>
      <c r="L381" s="110">
        <v>2</v>
      </c>
      <c r="M381" s="110">
        <v>444</v>
      </c>
      <c r="N381" s="110">
        <v>507</v>
      </c>
      <c r="O381" s="29" t="s">
        <v>4386</v>
      </c>
      <c r="P381" s="126">
        <v>379</v>
      </c>
      <c r="Q381" t="str">
        <f t="shared" si="5"/>
        <v>RAYAPIERCEPOBOX1969EUNICE</v>
      </c>
    </row>
    <row r="382" spans="1:17" x14ac:dyDescent="0.25">
      <c r="A382" s="29"/>
      <c r="B382" s="29"/>
      <c r="C382" s="94" t="s">
        <v>2625</v>
      </c>
      <c r="D382" s="111" t="s">
        <v>2626</v>
      </c>
      <c r="E382" s="29"/>
      <c r="F382" s="111" t="s">
        <v>2627</v>
      </c>
      <c r="G382" s="111" t="s">
        <v>84</v>
      </c>
      <c r="H382" s="111">
        <v>88255</v>
      </c>
      <c r="I382" s="93" t="s">
        <v>62</v>
      </c>
      <c r="J382" s="29"/>
      <c r="K382" s="110">
        <v>3</v>
      </c>
      <c r="L382" s="110">
        <v>71</v>
      </c>
      <c r="M382" s="110">
        <v>32338</v>
      </c>
      <c r="N382" s="110">
        <v>32060</v>
      </c>
      <c r="O382" s="29" t="s">
        <v>4386</v>
      </c>
      <c r="P382" s="126">
        <v>380</v>
      </c>
      <c r="Q382" t="str">
        <f t="shared" si="5"/>
        <v>RAYWESTALLOPERATINGINCPOBOX4LOCOHILLS</v>
      </c>
    </row>
    <row r="383" spans="1:17" x14ac:dyDescent="0.25">
      <c r="A383" s="29"/>
      <c r="B383" s="29"/>
      <c r="C383" s="94" t="s">
        <v>2633</v>
      </c>
      <c r="D383" s="111" t="s">
        <v>2634</v>
      </c>
      <c r="E383" s="29"/>
      <c r="F383" s="111" t="s">
        <v>209</v>
      </c>
      <c r="G383" s="111" t="s">
        <v>84</v>
      </c>
      <c r="H383" s="111">
        <v>88202</v>
      </c>
      <c r="I383" s="93" t="s">
        <v>62</v>
      </c>
      <c r="J383" s="29"/>
      <c r="K383" s="110">
        <v>27</v>
      </c>
      <c r="L383" s="110">
        <v>75</v>
      </c>
      <c r="M383" s="110">
        <v>1681789</v>
      </c>
      <c r="N383" s="110">
        <v>697439</v>
      </c>
      <c r="O383" s="29" t="s">
        <v>4386</v>
      </c>
      <c r="P383" s="126">
        <v>381</v>
      </c>
      <c r="Q383" t="str">
        <f t="shared" si="5"/>
        <v>READ&amp;STEVENSINCPOBOX1518ROSWELL</v>
      </c>
    </row>
    <row r="384" spans="1:17" x14ac:dyDescent="0.25">
      <c r="A384" s="29"/>
      <c r="B384" s="29"/>
      <c r="C384" s="94" t="s">
        <v>2640</v>
      </c>
      <c r="D384" s="111" t="s">
        <v>2641</v>
      </c>
      <c r="E384" s="29"/>
      <c r="F384" s="111" t="s">
        <v>123</v>
      </c>
      <c r="G384" s="111" t="s">
        <v>84</v>
      </c>
      <c r="H384" s="111">
        <v>87499</v>
      </c>
      <c r="I384" s="93" t="s">
        <v>62</v>
      </c>
      <c r="J384" s="29"/>
      <c r="K384" s="110">
        <v>1</v>
      </c>
      <c r="L384" s="110">
        <v>17</v>
      </c>
      <c r="M384" s="110">
        <v>86117</v>
      </c>
      <c r="N384" s="110">
        <v>268</v>
      </c>
      <c r="O384" s="29" t="s">
        <v>4386</v>
      </c>
      <c r="P384" s="126">
        <v>382</v>
      </c>
      <c r="Q384" t="str">
        <f t="shared" si="5"/>
        <v>REDWOLFPRODUCTIONINCPOBOX5382FARMINGTON</v>
      </c>
    </row>
    <row r="385" spans="1:17" x14ac:dyDescent="0.25">
      <c r="A385" s="29"/>
      <c r="B385" s="29"/>
      <c r="C385" s="94" t="s">
        <v>2647</v>
      </c>
      <c r="D385" s="111" t="s">
        <v>2648</v>
      </c>
      <c r="E385" s="29"/>
      <c r="F385" s="111" t="s">
        <v>83</v>
      </c>
      <c r="G385" s="111" t="s">
        <v>84</v>
      </c>
      <c r="H385" s="111">
        <v>88210</v>
      </c>
      <c r="I385" s="93" t="s">
        <v>62</v>
      </c>
      <c r="J385" s="29"/>
      <c r="K385" s="110">
        <v>5</v>
      </c>
      <c r="L385" s="110">
        <v>1</v>
      </c>
      <c r="M385" s="110">
        <v>351115</v>
      </c>
      <c r="N385" s="110">
        <v>204759</v>
      </c>
      <c r="O385" s="29" t="s">
        <v>4386</v>
      </c>
      <c r="P385" s="126">
        <v>383</v>
      </c>
      <c r="Q385" t="str">
        <f t="shared" si="5"/>
        <v>REGENERATIONENERGYCORPORATIONPOBOX210ARTESIA</v>
      </c>
    </row>
    <row r="386" spans="1:17" x14ac:dyDescent="0.25">
      <c r="A386" s="29"/>
      <c r="B386" s="29"/>
      <c r="C386" s="94" t="s">
        <v>2654</v>
      </c>
      <c r="D386" s="111" t="s">
        <v>2655</v>
      </c>
      <c r="E386" s="29"/>
      <c r="F386" s="111" t="s">
        <v>2656</v>
      </c>
      <c r="G386" s="111" t="s">
        <v>84</v>
      </c>
      <c r="H386" s="111">
        <v>87046</v>
      </c>
      <c r="I386" s="93" t="s">
        <v>62</v>
      </c>
      <c r="J386" s="29"/>
      <c r="K386" s="110">
        <v>0</v>
      </c>
      <c r="L386" s="110">
        <v>1</v>
      </c>
      <c r="M386" s="110">
        <v>3309</v>
      </c>
      <c r="N386" s="110">
        <v>287</v>
      </c>
      <c r="O386" s="29" t="s">
        <v>4386</v>
      </c>
      <c r="P386" s="126">
        <v>384</v>
      </c>
      <c r="Q386" t="str">
        <f t="shared" si="5"/>
        <v>REGINAOIL&amp;GASLLCPOBOX331REGINA</v>
      </c>
    </row>
    <row r="387" spans="1:17" x14ac:dyDescent="0.25">
      <c r="A387" s="29"/>
      <c r="B387" s="29"/>
      <c r="C387" s="94" t="s">
        <v>2661</v>
      </c>
      <c r="D387" s="111" t="s">
        <v>2662</v>
      </c>
      <c r="E387" s="29"/>
      <c r="F387" s="111" t="s">
        <v>123</v>
      </c>
      <c r="G387" s="111" t="s">
        <v>84</v>
      </c>
      <c r="H387" s="111">
        <v>87401</v>
      </c>
      <c r="I387" s="93" t="s">
        <v>62</v>
      </c>
      <c r="J387" s="29"/>
      <c r="K387" s="110">
        <v>11</v>
      </c>
      <c r="L387" s="110">
        <v>34</v>
      </c>
      <c r="M387" s="110">
        <v>591065</v>
      </c>
      <c r="N387" s="110">
        <v>2480</v>
      </c>
      <c r="O387" s="29" t="s">
        <v>4386</v>
      </c>
      <c r="P387" s="126">
        <v>385</v>
      </c>
      <c r="Q387" t="str">
        <f t="shared" si="5"/>
        <v>RELIABLEPRODUCTIONLLC407OURAYAVEFARMINGTON</v>
      </c>
    </row>
    <row r="388" spans="1:17" x14ac:dyDescent="0.25">
      <c r="A388" s="29"/>
      <c r="B388" s="29"/>
      <c r="C388" s="94" t="s">
        <v>2670</v>
      </c>
      <c r="D388" s="111" t="s">
        <v>2671</v>
      </c>
      <c r="E388" s="29"/>
      <c r="F388" s="111" t="s">
        <v>153</v>
      </c>
      <c r="G388" s="111" t="s">
        <v>80</v>
      </c>
      <c r="H388" s="111">
        <v>79701</v>
      </c>
      <c r="I388" s="93" t="s">
        <v>62</v>
      </c>
      <c r="J388" s="29"/>
      <c r="K388" s="110">
        <v>0</v>
      </c>
      <c r="L388" s="110">
        <v>2</v>
      </c>
      <c r="M388" s="110">
        <v>0</v>
      </c>
      <c r="N388" s="110">
        <v>2020</v>
      </c>
      <c r="O388" s="29" t="s">
        <v>4386</v>
      </c>
      <c r="P388" s="126">
        <v>386</v>
      </c>
      <c r="Q388" t="str">
        <f t="shared" ref="Q388:Q427" si="6">UPPER(SUBSTITUTE(SUBSTITUTE(SUBSTITUTE(SUBSTITUTE(C388&amp;D388&amp;F388," ",""),".",""),",",""),"-",""))</f>
        <v>RELIANCEENERGYINC300NMARIENFELDMIDLAND</v>
      </c>
    </row>
    <row r="389" spans="1:17" x14ac:dyDescent="0.25">
      <c r="A389" s="29"/>
      <c r="B389" s="29"/>
      <c r="C389" s="94" t="s">
        <v>2677</v>
      </c>
      <c r="D389" s="111" t="s">
        <v>2678</v>
      </c>
      <c r="E389" s="29"/>
      <c r="F389" s="111" t="s">
        <v>153</v>
      </c>
      <c r="G389" s="111" t="s">
        <v>80</v>
      </c>
      <c r="H389" s="111">
        <v>79704</v>
      </c>
      <c r="I389" s="93" t="s">
        <v>62</v>
      </c>
      <c r="J389" s="29"/>
      <c r="K389" s="110">
        <v>10</v>
      </c>
      <c r="L389" s="110">
        <v>288</v>
      </c>
      <c r="M389" s="110">
        <v>133240</v>
      </c>
      <c r="N389" s="110">
        <v>21743</v>
      </c>
      <c r="O389" s="29" t="s">
        <v>4386</v>
      </c>
      <c r="P389" s="126">
        <v>387</v>
      </c>
      <c r="Q389" t="str">
        <f t="shared" si="6"/>
        <v>REMNANTOILOPERATINGLLCPOBOX5375MIDLAND</v>
      </c>
    </row>
    <row r="390" spans="1:17" x14ac:dyDescent="0.25">
      <c r="A390" s="29"/>
      <c r="B390" s="29"/>
      <c r="C390" s="94" t="s">
        <v>2684</v>
      </c>
      <c r="D390" s="111" t="s">
        <v>2685</v>
      </c>
      <c r="E390" s="29"/>
      <c r="F390" s="111" t="s">
        <v>329</v>
      </c>
      <c r="G390" s="111" t="s">
        <v>61</v>
      </c>
      <c r="H390" s="111">
        <v>801600627</v>
      </c>
      <c r="I390" s="93" t="s">
        <v>62</v>
      </c>
      <c r="J390" s="29"/>
      <c r="K390" s="110">
        <v>2</v>
      </c>
      <c r="L390" s="110">
        <v>25</v>
      </c>
      <c r="M390" s="110">
        <v>32269</v>
      </c>
      <c r="N390" s="110">
        <v>28565</v>
      </c>
      <c r="O390" s="29" t="s">
        <v>4386</v>
      </c>
      <c r="P390" s="126">
        <v>388</v>
      </c>
      <c r="Q390" t="str">
        <f t="shared" si="6"/>
        <v>RHOMBUSOPERATINGCOLTDPOBOX627LITTLETON</v>
      </c>
    </row>
    <row r="391" spans="1:17" x14ac:dyDescent="0.25">
      <c r="A391" s="29"/>
      <c r="B391" s="29"/>
      <c r="C391" s="94" t="s">
        <v>2695</v>
      </c>
      <c r="D391" s="105" t="s">
        <v>2696</v>
      </c>
      <c r="E391" s="29"/>
      <c r="F391" s="111" t="s">
        <v>206</v>
      </c>
      <c r="G391" s="111" t="s">
        <v>84</v>
      </c>
      <c r="H391" s="93">
        <v>88240</v>
      </c>
      <c r="I391" s="93" t="s">
        <v>62</v>
      </c>
      <c r="J391" s="29"/>
      <c r="K391" s="110">
        <v>0</v>
      </c>
      <c r="L391" s="110">
        <v>4</v>
      </c>
      <c r="M391" s="110">
        <v>2631</v>
      </c>
      <c r="N391" s="110">
        <v>135</v>
      </c>
      <c r="O391" s="29" t="s">
        <v>4386</v>
      </c>
      <c r="P391" s="126">
        <v>389</v>
      </c>
      <c r="Q391" t="str">
        <f t="shared" si="6"/>
        <v>RICEOILCOPOBOX1486HOBBS</v>
      </c>
    </row>
    <row r="392" spans="1:17" x14ac:dyDescent="0.25">
      <c r="A392" s="29"/>
      <c r="B392" s="29"/>
      <c r="C392" s="94" t="s">
        <v>2697</v>
      </c>
      <c r="D392" s="111" t="s">
        <v>2698</v>
      </c>
      <c r="E392" s="29"/>
      <c r="F392" s="111" t="s">
        <v>60</v>
      </c>
      <c r="G392" s="111" t="s">
        <v>61</v>
      </c>
      <c r="H392" s="111">
        <v>80237</v>
      </c>
      <c r="I392" s="93" t="s">
        <v>62</v>
      </c>
      <c r="J392" s="29"/>
      <c r="K392" s="110">
        <v>6</v>
      </c>
      <c r="L392" s="110">
        <v>30</v>
      </c>
      <c r="M392" s="110">
        <v>416337</v>
      </c>
      <c r="N392" s="110">
        <v>0</v>
      </c>
      <c r="O392" s="29" t="s">
        <v>4386</v>
      </c>
      <c r="P392" s="126">
        <v>390</v>
      </c>
      <c r="Q392" t="str">
        <f t="shared" si="6"/>
        <v>RICHARDSONOPERATINGCO4601DTCBOULEVARDDENVER</v>
      </c>
    </row>
    <row r="393" spans="1:17" x14ac:dyDescent="0.25">
      <c r="A393" s="29"/>
      <c r="B393" s="29"/>
      <c r="C393" s="94" t="s">
        <v>2704</v>
      </c>
      <c r="D393" s="111" t="s">
        <v>2705</v>
      </c>
      <c r="E393" s="29"/>
      <c r="F393" s="111" t="s">
        <v>153</v>
      </c>
      <c r="G393" s="111" t="s">
        <v>80</v>
      </c>
      <c r="H393" s="111">
        <v>79701</v>
      </c>
      <c r="I393" s="93" t="s">
        <v>62</v>
      </c>
      <c r="J393" s="29"/>
      <c r="K393" s="110">
        <v>1</v>
      </c>
      <c r="L393" s="110">
        <v>0</v>
      </c>
      <c r="M393" s="110">
        <v>638</v>
      </c>
      <c r="N393" s="110">
        <v>0</v>
      </c>
      <c r="O393" s="29" t="s">
        <v>4386</v>
      </c>
      <c r="P393" s="126">
        <v>391</v>
      </c>
      <c r="Q393" t="str">
        <f t="shared" si="6"/>
        <v>RIDGERUNNERRESOURCESOPERATINGLLC1004NBIGSPRINGSTREETMIDLAND</v>
      </c>
    </row>
    <row r="394" spans="1:17" x14ac:dyDescent="0.25">
      <c r="A394" s="29"/>
      <c r="B394" s="29"/>
      <c r="C394" s="94" t="s">
        <v>2710</v>
      </c>
      <c r="D394" s="111" t="s">
        <v>1191</v>
      </c>
      <c r="E394" s="29"/>
      <c r="F394" s="111" t="s">
        <v>112</v>
      </c>
      <c r="G394" s="111" t="s">
        <v>80</v>
      </c>
      <c r="H394" s="111">
        <v>77079</v>
      </c>
      <c r="I394" s="93" t="s">
        <v>62</v>
      </c>
      <c r="J394" s="29"/>
      <c r="K394" s="110">
        <v>11</v>
      </c>
      <c r="L394" s="110">
        <v>47</v>
      </c>
      <c r="M394" s="110">
        <v>187855</v>
      </c>
      <c r="N394" s="110">
        <v>218944</v>
      </c>
      <c r="O394" s="29" t="s">
        <v>4386</v>
      </c>
      <c r="P394" s="126">
        <v>392</v>
      </c>
      <c r="Q394" t="str">
        <f t="shared" si="6"/>
        <v>RIDGEWAYARIZONAOILCORP575NDAIRYASHFORDHOUSTON</v>
      </c>
    </row>
    <row r="395" spans="1:17" x14ac:dyDescent="0.25">
      <c r="A395" s="29"/>
      <c r="B395" s="29"/>
      <c r="C395" s="112" t="s">
        <v>4519</v>
      </c>
      <c r="D395" s="100" t="s">
        <v>2712</v>
      </c>
      <c r="E395" s="29"/>
      <c r="F395" s="93" t="s">
        <v>585</v>
      </c>
      <c r="G395" s="93" t="s">
        <v>184</v>
      </c>
      <c r="H395" s="93">
        <v>73104</v>
      </c>
      <c r="I395" s="93" t="s">
        <v>62</v>
      </c>
      <c r="J395" s="29"/>
      <c r="K395" s="110">
        <v>3</v>
      </c>
      <c r="L395" s="110">
        <v>3</v>
      </c>
      <c r="M395" s="110">
        <v>167828</v>
      </c>
      <c r="N395" s="110">
        <v>95622</v>
      </c>
      <c r="O395" s="29" t="s">
        <v>4386</v>
      </c>
      <c r="P395" s="126">
        <v>393</v>
      </c>
      <c r="Q395" t="str">
        <f t="shared" si="6"/>
        <v>RILEYPERMIANOPERATINGCOMPANYLLC29ERENOOKLAHOMACITY</v>
      </c>
    </row>
    <row r="396" spans="1:17" x14ac:dyDescent="0.25">
      <c r="A396" s="29"/>
      <c r="B396" s="29"/>
      <c r="C396" s="94" t="s">
        <v>2720</v>
      </c>
      <c r="D396" s="111" t="s">
        <v>2721</v>
      </c>
      <c r="E396" s="29"/>
      <c r="F396" s="111" t="s">
        <v>362</v>
      </c>
      <c r="G396" s="111" t="s">
        <v>61</v>
      </c>
      <c r="H396" s="111">
        <v>80112</v>
      </c>
      <c r="I396" s="93" t="s">
        <v>62</v>
      </c>
      <c r="J396" s="29"/>
      <c r="K396" s="110">
        <v>37</v>
      </c>
      <c r="L396" s="110">
        <v>72</v>
      </c>
      <c r="M396" s="110">
        <v>2392452</v>
      </c>
      <c r="N396" s="110">
        <v>29486</v>
      </c>
      <c r="O396" s="29" t="s">
        <v>4386</v>
      </c>
      <c r="P396" s="126">
        <v>394</v>
      </c>
      <c r="Q396" t="str">
        <f t="shared" si="6"/>
        <v>RIMOPERATINGINC5INVERNESSDRIVEEASTENGLEWOOD</v>
      </c>
    </row>
    <row r="397" spans="1:17" x14ac:dyDescent="0.25">
      <c r="A397" s="29"/>
      <c r="B397" s="29"/>
      <c r="C397" s="94" t="s">
        <v>2728</v>
      </c>
      <c r="D397" s="111" t="s">
        <v>2729</v>
      </c>
      <c r="E397" s="29"/>
      <c r="F397" s="111" t="s">
        <v>153</v>
      </c>
      <c r="G397" s="111" t="s">
        <v>80</v>
      </c>
      <c r="H397" s="111">
        <v>79702</v>
      </c>
      <c r="I397" s="93" t="s">
        <v>62</v>
      </c>
      <c r="J397" s="29"/>
      <c r="K397" s="110">
        <v>25</v>
      </c>
      <c r="L397" s="110">
        <v>4</v>
      </c>
      <c r="M397" s="110">
        <v>178387</v>
      </c>
      <c r="N397" s="110">
        <v>189866</v>
      </c>
      <c r="O397" s="29" t="s">
        <v>4386</v>
      </c>
      <c r="P397" s="126">
        <v>395</v>
      </c>
      <c r="Q397" t="str">
        <f t="shared" si="6"/>
        <v>RINGENERGYINCPOBOX11350MIDLAND</v>
      </c>
    </row>
    <row r="398" spans="1:17" x14ac:dyDescent="0.25">
      <c r="A398" s="29"/>
      <c r="B398" s="29" t="s">
        <v>4472</v>
      </c>
      <c r="C398" s="92" t="s">
        <v>2735</v>
      </c>
      <c r="D398" s="105" t="s">
        <v>2736</v>
      </c>
      <c r="E398" s="29"/>
      <c r="F398" s="93" t="s">
        <v>378</v>
      </c>
      <c r="G398" s="93" t="s">
        <v>80</v>
      </c>
      <c r="H398" s="93">
        <v>75219</v>
      </c>
      <c r="I398" s="93" t="s">
        <v>62</v>
      </c>
      <c r="J398" s="29"/>
      <c r="K398" s="110">
        <v>0</v>
      </c>
      <c r="L398" s="110">
        <v>0</v>
      </c>
      <c r="M398" s="110">
        <v>0</v>
      </c>
      <c r="N398" s="110">
        <v>0</v>
      </c>
      <c r="O398" s="29" t="s">
        <v>4385</v>
      </c>
      <c r="P398" s="126">
        <v>396</v>
      </c>
      <c r="Q398" t="str">
        <f t="shared" si="6"/>
        <v>RISINGSTARENERGY3710RAWLINSSTDALLAS</v>
      </c>
    </row>
    <row r="399" spans="1:17" x14ac:dyDescent="0.25">
      <c r="A399" s="29"/>
      <c r="B399" s="29"/>
      <c r="C399" s="94" t="s">
        <v>2742</v>
      </c>
      <c r="D399" s="111" t="s">
        <v>829</v>
      </c>
      <c r="E399" s="29"/>
      <c r="F399" s="111" t="s">
        <v>830</v>
      </c>
      <c r="G399" s="111" t="s">
        <v>80</v>
      </c>
      <c r="H399" s="111">
        <v>75244</v>
      </c>
      <c r="I399" s="93" t="s">
        <v>62</v>
      </c>
      <c r="J399" s="29"/>
      <c r="K399" s="110">
        <v>0</v>
      </c>
      <c r="L399" s="110">
        <v>1</v>
      </c>
      <c r="M399" s="110">
        <v>0</v>
      </c>
      <c r="N399" s="110">
        <v>1</v>
      </c>
      <c r="O399" s="29" t="s">
        <v>4386</v>
      </c>
      <c r="P399" s="126">
        <v>397</v>
      </c>
      <c r="Q399" t="str">
        <f t="shared" si="6"/>
        <v>RMROPERATINGLLC14282GILLISROADFARMERSBRANCH</v>
      </c>
    </row>
    <row r="400" spans="1:17" x14ac:dyDescent="0.25">
      <c r="A400" s="29"/>
      <c r="B400" s="29"/>
      <c r="C400" s="94" t="s">
        <v>2748</v>
      </c>
      <c r="D400" s="111" t="s">
        <v>2749</v>
      </c>
      <c r="E400" s="29"/>
      <c r="F400" s="111" t="s">
        <v>2266</v>
      </c>
      <c r="G400" s="111" t="s">
        <v>84</v>
      </c>
      <c r="H400" s="111">
        <v>88220</v>
      </c>
      <c r="I400" s="93" t="s">
        <v>62</v>
      </c>
      <c r="J400" s="29"/>
      <c r="K400" s="110">
        <v>0</v>
      </c>
      <c r="L400" s="110">
        <v>20</v>
      </c>
      <c r="M400" s="110">
        <v>0</v>
      </c>
      <c r="N400" s="110">
        <v>16066</v>
      </c>
      <c r="O400" s="29" t="s">
        <v>4386</v>
      </c>
      <c r="P400" s="126">
        <v>398</v>
      </c>
      <c r="Q400" t="str">
        <f t="shared" si="6"/>
        <v>ROBERTHFORRESTJROILLLC609ELORADRCARLSBAD</v>
      </c>
    </row>
    <row r="401" spans="1:17" x14ac:dyDescent="0.25">
      <c r="A401" s="29"/>
      <c r="B401" s="29"/>
      <c r="C401" s="112" t="s">
        <v>4520</v>
      </c>
      <c r="D401" s="100" t="s">
        <v>2755</v>
      </c>
      <c r="E401" s="29"/>
      <c r="F401" s="93" t="s">
        <v>123</v>
      </c>
      <c r="G401" s="93" t="s">
        <v>84</v>
      </c>
      <c r="H401" s="93">
        <v>87499</v>
      </c>
      <c r="I401" s="93" t="s">
        <v>62</v>
      </c>
      <c r="J401" s="29"/>
      <c r="K401" s="110">
        <v>33</v>
      </c>
      <c r="L401" s="110">
        <v>27</v>
      </c>
      <c r="M401" s="110">
        <v>1781737</v>
      </c>
      <c r="N401" s="110">
        <v>4297</v>
      </c>
      <c r="O401" s="29" t="s">
        <v>4386</v>
      </c>
      <c r="P401" s="126">
        <v>399</v>
      </c>
      <c r="Q401" t="str">
        <f t="shared" si="6"/>
        <v>ROBERTLBAYLESSPRODUCERLLCPOBOX168FARMINGTON</v>
      </c>
    </row>
    <row r="402" spans="1:17" x14ac:dyDescent="0.25">
      <c r="A402" s="29"/>
      <c r="B402" s="29"/>
      <c r="C402" s="94" t="s">
        <v>2761</v>
      </c>
      <c r="D402" s="111" t="s">
        <v>2762</v>
      </c>
      <c r="E402" s="29"/>
      <c r="F402" s="111" t="s">
        <v>153</v>
      </c>
      <c r="G402" s="111" t="s">
        <v>80</v>
      </c>
      <c r="H402" s="111">
        <v>79708</v>
      </c>
      <c r="I402" s="93" t="s">
        <v>62</v>
      </c>
      <c r="J402" s="29"/>
      <c r="K402" s="110">
        <v>2</v>
      </c>
      <c r="L402" s="110">
        <v>13</v>
      </c>
      <c r="M402" s="110">
        <v>34156</v>
      </c>
      <c r="N402" s="110">
        <v>7077</v>
      </c>
      <c r="O402" s="29" t="s">
        <v>4386</v>
      </c>
      <c r="P402" s="126">
        <v>400</v>
      </c>
      <c r="Q402" t="str">
        <f t="shared" si="6"/>
        <v>ROBERTSONRESOURCESINCPOBOX9415MIDLAND</v>
      </c>
    </row>
    <row r="403" spans="1:17" x14ac:dyDescent="0.25">
      <c r="A403" s="29"/>
      <c r="B403" s="29"/>
      <c r="C403" s="94" t="s">
        <v>2768</v>
      </c>
      <c r="D403" s="111" t="s">
        <v>2769</v>
      </c>
      <c r="E403" s="29"/>
      <c r="F403" s="111" t="s">
        <v>1257</v>
      </c>
      <c r="G403" s="111" t="s">
        <v>80</v>
      </c>
      <c r="H403" s="111">
        <v>75701</v>
      </c>
      <c r="I403" s="93" t="s">
        <v>62</v>
      </c>
      <c r="J403" s="29"/>
      <c r="K403" s="110">
        <v>0</v>
      </c>
      <c r="L403" s="110">
        <v>1</v>
      </c>
      <c r="M403" s="110">
        <v>2545</v>
      </c>
      <c r="N403" s="110">
        <v>3351</v>
      </c>
      <c r="O403" s="29" t="s">
        <v>4386</v>
      </c>
      <c r="P403" s="126">
        <v>401</v>
      </c>
      <c r="Q403" t="str">
        <f t="shared" si="6"/>
        <v>ROBERTSONBRYCEMANAGEMENTLLC3650OLDBULLARDROADTYLER</v>
      </c>
    </row>
    <row r="404" spans="1:17" x14ac:dyDescent="0.25">
      <c r="A404" s="29"/>
      <c r="B404" s="29"/>
      <c r="C404" s="94" t="s">
        <v>2775</v>
      </c>
      <c r="D404" s="111" t="s">
        <v>2776</v>
      </c>
      <c r="E404" s="29"/>
      <c r="F404" s="111" t="s">
        <v>153</v>
      </c>
      <c r="G404" s="111" t="s">
        <v>80</v>
      </c>
      <c r="H404" s="111">
        <v>79702</v>
      </c>
      <c r="I404" s="93" t="s">
        <v>62</v>
      </c>
      <c r="J404" s="29"/>
      <c r="K404" s="110">
        <v>2</v>
      </c>
      <c r="L404" s="110">
        <v>3</v>
      </c>
      <c r="M404" s="110">
        <v>41694</v>
      </c>
      <c r="N404" s="110">
        <v>13539</v>
      </c>
      <c r="O404" s="29" t="s">
        <v>4386</v>
      </c>
      <c r="P404" s="126">
        <v>402</v>
      </c>
      <c r="Q404" t="str">
        <f t="shared" si="6"/>
        <v>ROCAOPERATINGINCPOBOX1981MIDLAND</v>
      </c>
    </row>
    <row r="405" spans="1:17" x14ac:dyDescent="0.25">
      <c r="A405" s="29"/>
      <c r="B405" s="29"/>
      <c r="C405" s="94" t="s">
        <v>2782</v>
      </c>
      <c r="D405" s="111" t="s">
        <v>2783</v>
      </c>
      <c r="E405" s="29"/>
      <c r="F405" s="111" t="s">
        <v>362</v>
      </c>
      <c r="G405" s="111" t="s">
        <v>61</v>
      </c>
      <c r="H405" s="111">
        <v>80112</v>
      </c>
      <c r="I405" s="93" t="s">
        <v>62</v>
      </c>
      <c r="J405" s="29"/>
      <c r="K405" s="110">
        <v>2</v>
      </c>
      <c r="L405" s="110">
        <v>0</v>
      </c>
      <c r="M405" s="110">
        <v>9778</v>
      </c>
      <c r="N405" s="110">
        <v>31189</v>
      </c>
      <c r="O405" s="29" t="s">
        <v>4386</v>
      </c>
      <c r="P405" s="126">
        <v>403</v>
      </c>
      <c r="Q405" t="str">
        <f t="shared" si="6"/>
        <v>ROCKCREEKRESOURCESLLC9781SMERIDIANBLVDENGLEWOOD</v>
      </c>
    </row>
    <row r="406" spans="1:17" x14ac:dyDescent="0.25">
      <c r="A406" s="29"/>
      <c r="B406" s="29"/>
      <c r="C406" s="94" t="s">
        <v>2789</v>
      </c>
      <c r="D406" s="100" t="s">
        <v>2755</v>
      </c>
      <c r="E406" s="29"/>
      <c r="F406" s="93" t="s">
        <v>123</v>
      </c>
      <c r="G406" s="93" t="s">
        <v>84</v>
      </c>
      <c r="H406" s="93">
        <v>87499</v>
      </c>
      <c r="I406" s="93" t="s">
        <v>62</v>
      </c>
      <c r="J406" s="29"/>
      <c r="K406" s="110">
        <v>10</v>
      </c>
      <c r="L406" s="110">
        <v>49</v>
      </c>
      <c r="M406" s="110">
        <v>1005769</v>
      </c>
      <c r="N406" s="110">
        <v>12799</v>
      </c>
      <c r="O406" s="29" t="s">
        <v>4386</v>
      </c>
      <c r="P406" s="126">
        <v>404</v>
      </c>
      <c r="Q406" t="str">
        <f t="shared" si="6"/>
        <v>RODDYPRODUCTIONCOINCPOBOX168FARMINGTON</v>
      </c>
    </row>
    <row r="407" spans="1:17" x14ac:dyDescent="0.25">
      <c r="A407" s="29"/>
      <c r="B407" s="29"/>
      <c r="C407" s="94" t="s">
        <v>2795</v>
      </c>
      <c r="D407" s="111" t="s">
        <v>2796</v>
      </c>
      <c r="E407" s="29"/>
      <c r="F407" s="111" t="s">
        <v>209</v>
      </c>
      <c r="G407" s="111" t="s">
        <v>84</v>
      </c>
      <c r="H407" s="111">
        <v>88202</v>
      </c>
      <c r="I407" s="93" t="s">
        <v>62</v>
      </c>
      <c r="J407" s="29"/>
      <c r="K407" s="110">
        <v>0</v>
      </c>
      <c r="L407" s="110">
        <v>18</v>
      </c>
      <c r="M407" s="110">
        <v>0</v>
      </c>
      <c r="N407" s="110">
        <v>1490</v>
      </c>
      <c r="O407" s="29" t="s">
        <v>4386</v>
      </c>
      <c r="P407" s="126">
        <v>405</v>
      </c>
      <c r="Q407" t="str">
        <f t="shared" si="6"/>
        <v>ROGERSLAYTONDBAESCUDILLAOILCOMPANYPOBOX687ROSWELL</v>
      </c>
    </row>
    <row r="408" spans="1:17" x14ac:dyDescent="0.25">
      <c r="A408" s="29"/>
      <c r="B408" s="29"/>
      <c r="C408" s="94" t="s">
        <v>2797</v>
      </c>
      <c r="D408" s="111" t="s">
        <v>2798</v>
      </c>
      <c r="E408" s="29"/>
      <c r="F408" s="111" t="s">
        <v>378</v>
      </c>
      <c r="G408" s="111" t="s">
        <v>80</v>
      </c>
      <c r="H408" s="111">
        <v>75252</v>
      </c>
      <c r="I408" s="93" t="s">
        <v>62</v>
      </c>
      <c r="J408" s="29"/>
      <c r="K408" s="110">
        <v>16</v>
      </c>
      <c r="L408" s="110">
        <v>202</v>
      </c>
      <c r="M408" s="110">
        <v>42247</v>
      </c>
      <c r="N408" s="110">
        <v>107703</v>
      </c>
      <c r="O408" s="29" t="s">
        <v>4386</v>
      </c>
      <c r="P408" s="126">
        <v>406</v>
      </c>
      <c r="Q408" t="str">
        <f t="shared" si="6"/>
        <v>ROVEROPERATINGLLC17304PRESTONROADDALLAS</v>
      </c>
    </row>
    <row r="409" spans="1:17" x14ac:dyDescent="0.25">
      <c r="A409" s="29"/>
      <c r="B409" s="29"/>
      <c r="C409" s="94" t="s">
        <v>2805</v>
      </c>
      <c r="D409" s="111" t="s">
        <v>2806</v>
      </c>
      <c r="E409" s="29"/>
      <c r="F409" s="111" t="s">
        <v>153</v>
      </c>
      <c r="G409" s="111" t="s">
        <v>80</v>
      </c>
      <c r="H409" s="111">
        <v>79701</v>
      </c>
      <c r="I409" s="93" t="s">
        <v>62</v>
      </c>
      <c r="J409" s="29"/>
      <c r="K409" s="110">
        <v>3</v>
      </c>
      <c r="L409" s="110">
        <v>9</v>
      </c>
      <c r="M409" s="110">
        <v>298860</v>
      </c>
      <c r="N409" s="110">
        <v>3286</v>
      </c>
      <c r="O409" s="29" t="s">
        <v>4386</v>
      </c>
      <c r="P409" s="126">
        <v>407</v>
      </c>
      <c r="Q409" t="str">
        <f t="shared" si="6"/>
        <v>RUBICONOIL&amp;GASLLC508WWALLAVENUEMIDLAND</v>
      </c>
    </row>
    <row r="410" spans="1:17" x14ac:dyDescent="0.25">
      <c r="A410" s="29"/>
      <c r="B410" s="29"/>
      <c r="C410" s="94" t="s">
        <v>2812</v>
      </c>
      <c r="D410" s="111" t="s">
        <v>87</v>
      </c>
      <c r="E410" s="29"/>
      <c r="F410" s="111" t="s">
        <v>148</v>
      </c>
      <c r="G410" s="111" t="s">
        <v>80</v>
      </c>
      <c r="H410" s="111">
        <v>76116</v>
      </c>
      <c r="I410" s="93" t="s">
        <v>62</v>
      </c>
      <c r="J410" s="29"/>
      <c r="K410" s="110">
        <v>0</v>
      </c>
      <c r="L410" s="110">
        <v>2</v>
      </c>
      <c r="M410" s="110">
        <v>5573</v>
      </c>
      <c r="N410" s="110">
        <v>1768</v>
      </c>
      <c r="O410" s="29" t="s">
        <v>4386</v>
      </c>
      <c r="P410" s="126">
        <v>408</v>
      </c>
      <c r="Q410" t="str">
        <f t="shared" si="6"/>
        <v>RUSTOILCORP6300RIDGLEAPLFTWORTH</v>
      </c>
    </row>
    <row r="411" spans="1:17" x14ac:dyDescent="0.25">
      <c r="A411" s="29"/>
      <c r="B411" s="29"/>
      <c r="C411" s="94" t="s">
        <v>2818</v>
      </c>
      <c r="D411" s="111" t="s">
        <v>592</v>
      </c>
      <c r="E411" s="29"/>
      <c r="F411" s="111" t="s">
        <v>593</v>
      </c>
      <c r="G411" s="111" t="s">
        <v>84</v>
      </c>
      <c r="H411" s="111">
        <v>87410</v>
      </c>
      <c r="I411" s="93" t="s">
        <v>62</v>
      </c>
      <c r="J411" s="29"/>
      <c r="K411" s="110">
        <v>0</v>
      </c>
      <c r="L411" s="110">
        <v>1</v>
      </c>
      <c r="M411" s="110">
        <v>14619</v>
      </c>
      <c r="N411" s="110">
        <v>0</v>
      </c>
      <c r="O411" s="29" t="s">
        <v>4386</v>
      </c>
      <c r="P411" s="126">
        <v>409</v>
      </c>
      <c r="Q411" t="str">
        <f t="shared" si="6"/>
        <v>S&amp;JOIL&amp;GASCOPOBOX100AZTEC</v>
      </c>
    </row>
    <row r="412" spans="1:17" x14ac:dyDescent="0.25">
      <c r="A412" s="29"/>
      <c r="B412" s="29" t="s">
        <v>4472</v>
      </c>
      <c r="C412" s="92" t="s">
        <v>2822</v>
      </c>
      <c r="D412" s="100" t="s">
        <v>861</v>
      </c>
      <c r="E412" s="29"/>
      <c r="F412" s="93" t="s">
        <v>112</v>
      </c>
      <c r="G412" s="93" t="s">
        <v>80</v>
      </c>
      <c r="H412" s="93">
        <v>77042</v>
      </c>
      <c r="I412" s="93" t="s">
        <v>62</v>
      </c>
      <c r="J412" s="29"/>
      <c r="K412" s="110">
        <v>0</v>
      </c>
      <c r="L412" s="110">
        <v>0</v>
      </c>
      <c r="M412" s="110">
        <v>0</v>
      </c>
      <c r="N412" s="110">
        <v>0</v>
      </c>
      <c r="O412" s="29" t="s">
        <v>4385</v>
      </c>
      <c r="P412" s="126">
        <v>410</v>
      </c>
      <c r="Q412" t="str">
        <f t="shared" si="6"/>
        <v>SABAENERGY3000WILCRESTHOUSTON</v>
      </c>
    </row>
    <row r="413" spans="1:17" x14ac:dyDescent="0.25">
      <c r="A413" s="29"/>
      <c r="B413" s="29"/>
      <c r="C413" s="94" t="s">
        <v>2828</v>
      </c>
      <c r="D413" s="111" t="s">
        <v>2829</v>
      </c>
      <c r="E413" s="29"/>
      <c r="F413" s="111" t="s">
        <v>2830</v>
      </c>
      <c r="G413" s="111" t="s">
        <v>80</v>
      </c>
      <c r="H413" s="111">
        <v>77380</v>
      </c>
      <c r="I413" s="93" t="s">
        <v>62</v>
      </c>
      <c r="J413" s="29"/>
      <c r="K413" s="110">
        <v>11</v>
      </c>
      <c r="L413" s="110">
        <v>27</v>
      </c>
      <c r="M413" s="110">
        <v>255673</v>
      </c>
      <c r="N413" s="110">
        <v>153909</v>
      </c>
      <c r="O413" s="29" t="s">
        <v>4386</v>
      </c>
      <c r="P413" s="126">
        <v>411</v>
      </c>
      <c r="Q413" t="str">
        <f t="shared" si="6"/>
        <v>SABINALENERGYOPERATINGLLC1780HUGHESLANDINGBLVDTHEWOODLANDS</v>
      </c>
    </row>
    <row r="414" spans="1:17" x14ac:dyDescent="0.25">
      <c r="A414" s="29"/>
      <c r="B414" s="29"/>
      <c r="C414" s="94" t="s">
        <v>2837</v>
      </c>
      <c r="D414" s="111" t="s">
        <v>2838</v>
      </c>
      <c r="E414" s="29"/>
      <c r="F414" s="111" t="s">
        <v>418</v>
      </c>
      <c r="G414" s="111" t="s">
        <v>80</v>
      </c>
      <c r="H414" s="111">
        <v>76308</v>
      </c>
      <c r="I414" s="93" t="s">
        <v>62</v>
      </c>
      <c r="J414" s="29"/>
      <c r="K414" s="110">
        <v>0</v>
      </c>
      <c r="L414" s="110">
        <v>4</v>
      </c>
      <c r="M414" s="110">
        <v>26080</v>
      </c>
      <c r="N414" s="110">
        <v>1959</v>
      </c>
      <c r="O414" s="29" t="s">
        <v>4386</v>
      </c>
      <c r="P414" s="126">
        <v>412</v>
      </c>
      <c r="Q414" t="str">
        <f t="shared" si="6"/>
        <v>SABREOPINCPOBOX4848WICHITAFALLS</v>
      </c>
    </row>
    <row r="415" spans="1:17" x14ac:dyDescent="0.25">
      <c r="A415" s="29"/>
      <c r="B415" s="29"/>
      <c r="C415" s="94" t="s">
        <v>2844</v>
      </c>
      <c r="D415" s="111" t="s">
        <v>2845</v>
      </c>
      <c r="E415" s="29"/>
      <c r="F415" s="111" t="s">
        <v>2846</v>
      </c>
      <c r="G415" s="111" t="s">
        <v>84</v>
      </c>
      <c r="H415" s="111">
        <v>88030</v>
      </c>
      <c r="I415" s="93" t="s">
        <v>62</v>
      </c>
      <c r="J415" s="29"/>
      <c r="K415" s="110">
        <v>0</v>
      </c>
      <c r="L415" s="110">
        <v>9</v>
      </c>
      <c r="M415" s="110">
        <v>0</v>
      </c>
      <c r="N415" s="110">
        <v>796</v>
      </c>
      <c r="O415" s="29" t="s">
        <v>4386</v>
      </c>
      <c r="P415" s="126">
        <v>413</v>
      </c>
      <c r="Q415" t="str">
        <f t="shared" si="6"/>
        <v>SAGEBRUSHOILINC409SLEADSTDEMING</v>
      </c>
    </row>
    <row r="416" spans="1:17" x14ac:dyDescent="0.25">
      <c r="A416" s="29"/>
      <c r="B416" s="29"/>
      <c r="C416" s="94" t="s">
        <v>2847</v>
      </c>
      <c r="D416" s="111" t="s">
        <v>2848</v>
      </c>
      <c r="E416" s="29"/>
      <c r="F416" s="111" t="s">
        <v>153</v>
      </c>
      <c r="G416" s="111" t="s">
        <v>80</v>
      </c>
      <c r="H416" s="111">
        <v>79701</v>
      </c>
      <c r="I416" s="93" t="s">
        <v>62</v>
      </c>
      <c r="J416" s="29"/>
      <c r="K416" s="110">
        <v>3</v>
      </c>
      <c r="L416" s="110">
        <v>23</v>
      </c>
      <c r="M416" s="110">
        <v>0</v>
      </c>
      <c r="N416" s="110">
        <v>8176</v>
      </c>
      <c r="O416" s="29" t="s">
        <v>4386</v>
      </c>
      <c r="P416" s="126">
        <v>414</v>
      </c>
      <c r="Q416" t="str">
        <f t="shared" si="6"/>
        <v>SAGUAROPETROLEUMLLC1509WWALLSTSTE100MIDLAND</v>
      </c>
    </row>
    <row r="417" spans="1:17" x14ac:dyDescent="0.25">
      <c r="A417" s="29"/>
      <c r="B417" s="29"/>
      <c r="C417" s="94" t="s">
        <v>2854</v>
      </c>
      <c r="D417" s="111" t="s">
        <v>2855</v>
      </c>
      <c r="E417" s="29"/>
      <c r="F417" s="111" t="s">
        <v>153</v>
      </c>
      <c r="G417" s="111" t="s">
        <v>80</v>
      </c>
      <c r="H417" s="111">
        <v>79704</v>
      </c>
      <c r="I417" s="93" t="s">
        <v>62</v>
      </c>
      <c r="J417" s="29"/>
      <c r="K417" s="110">
        <v>0</v>
      </c>
      <c r="L417" s="110">
        <v>87</v>
      </c>
      <c r="M417" s="110">
        <v>27708</v>
      </c>
      <c r="N417" s="110">
        <v>28116</v>
      </c>
      <c r="O417" s="29" t="s">
        <v>4386</v>
      </c>
      <c r="P417" s="126">
        <v>415</v>
      </c>
      <c r="Q417" t="str">
        <f t="shared" si="6"/>
        <v>SAHARAOPERATINGCOPOBOX4130MIDLAND</v>
      </c>
    </row>
    <row r="418" spans="1:17" x14ac:dyDescent="0.25">
      <c r="A418" s="29"/>
      <c r="B418" s="29" t="s">
        <v>4472</v>
      </c>
      <c r="C418" s="92" t="s">
        <v>2861</v>
      </c>
      <c r="D418" s="100" t="s">
        <v>2862</v>
      </c>
      <c r="E418" s="29"/>
      <c r="F418" s="93" t="s">
        <v>153</v>
      </c>
      <c r="G418" s="93" t="s">
        <v>80</v>
      </c>
      <c r="H418" s="93">
        <v>79705</v>
      </c>
      <c r="I418" s="93" t="s">
        <v>62</v>
      </c>
      <c r="J418" s="29"/>
      <c r="K418" s="110">
        <v>0</v>
      </c>
      <c r="L418" s="110">
        <v>0</v>
      </c>
      <c r="M418" s="110">
        <v>0</v>
      </c>
      <c r="N418" s="110">
        <v>0</v>
      </c>
      <c r="O418" s="29" t="s">
        <v>4385</v>
      </c>
      <c r="P418" s="126">
        <v>416</v>
      </c>
      <c r="Q418" t="str">
        <f t="shared" si="6"/>
        <v>SALTCREEKMIDSTREAMLLC6DESTADRIVEMIDLAND</v>
      </c>
    </row>
    <row r="419" spans="1:17" x14ac:dyDescent="0.25">
      <c r="A419" s="29"/>
      <c r="B419" s="29" t="s">
        <v>4472</v>
      </c>
      <c r="C419" s="92" t="s">
        <v>2870</v>
      </c>
      <c r="D419" s="100" t="s">
        <v>2871</v>
      </c>
      <c r="E419" s="29"/>
      <c r="F419" s="93" t="s">
        <v>183</v>
      </c>
      <c r="G419" s="93" t="s">
        <v>184</v>
      </c>
      <c r="H419" s="93">
        <v>74103</v>
      </c>
      <c r="I419" s="93" t="s">
        <v>62</v>
      </c>
      <c r="J419" s="29"/>
      <c r="K419" s="110">
        <v>0</v>
      </c>
      <c r="L419" s="110">
        <v>0</v>
      </c>
      <c r="M419" s="110">
        <v>0</v>
      </c>
      <c r="N419" s="110">
        <v>0</v>
      </c>
      <c r="O419" s="29" t="s">
        <v>4385</v>
      </c>
      <c r="P419" s="126">
        <v>417</v>
      </c>
      <c r="Q419" t="str">
        <f t="shared" si="6"/>
        <v>SAMSONRESOURCES2WESTSECONDSTTULSA</v>
      </c>
    </row>
    <row r="420" spans="1:17" x14ac:dyDescent="0.25">
      <c r="A420" s="29"/>
      <c r="B420" s="29"/>
      <c r="C420" s="94" t="s">
        <v>2882</v>
      </c>
      <c r="D420" s="111" t="s">
        <v>2883</v>
      </c>
      <c r="E420" s="29"/>
      <c r="F420" s="111" t="s">
        <v>83</v>
      </c>
      <c r="G420" s="111" t="s">
        <v>84</v>
      </c>
      <c r="H420" s="111">
        <v>88210</v>
      </c>
      <c r="I420" s="93" t="s">
        <v>62</v>
      </c>
      <c r="J420" s="29"/>
      <c r="K420" s="110">
        <v>0</v>
      </c>
      <c r="L420" s="110">
        <v>18</v>
      </c>
      <c r="M420" s="110">
        <v>0</v>
      </c>
      <c r="N420" s="110">
        <v>2245</v>
      </c>
      <c r="O420" s="29" t="s">
        <v>4386</v>
      </c>
      <c r="P420" s="126">
        <v>418</v>
      </c>
      <c r="Q420" t="str">
        <f t="shared" si="6"/>
        <v>SAMUELDALEHUGHESDBAHUGHESDRILLINGCO2409WCENTREARTESIA</v>
      </c>
    </row>
    <row r="421" spans="1:17" x14ac:dyDescent="0.25">
      <c r="A421" s="29"/>
      <c r="B421" s="29"/>
      <c r="C421" s="94" t="s">
        <v>2884</v>
      </c>
      <c r="D421" s="111" t="s">
        <v>2885</v>
      </c>
      <c r="E421" s="29"/>
      <c r="F421" s="111" t="s">
        <v>1035</v>
      </c>
      <c r="G421" s="111" t="s">
        <v>84</v>
      </c>
      <c r="H421" s="111">
        <v>87413</v>
      </c>
      <c r="I421" s="93" t="s">
        <v>62</v>
      </c>
      <c r="J421" s="29"/>
      <c r="K421" s="110">
        <v>10</v>
      </c>
      <c r="L421" s="110">
        <v>27</v>
      </c>
      <c r="M421" s="110">
        <v>663831</v>
      </c>
      <c r="N421" s="110">
        <v>8419</v>
      </c>
      <c r="O421" s="29" t="s">
        <v>4386</v>
      </c>
      <c r="P421" s="126">
        <v>419</v>
      </c>
      <c r="Q421" t="str">
        <f t="shared" si="6"/>
        <v>SANJUANRESOURCESINCPOBOX159BLOOMFIELD</v>
      </c>
    </row>
    <row r="422" spans="1:17" x14ac:dyDescent="0.25">
      <c r="A422" s="29"/>
      <c r="B422" s="29"/>
      <c r="C422" s="94" t="s">
        <v>2886</v>
      </c>
      <c r="D422" s="111" t="s">
        <v>2887</v>
      </c>
      <c r="E422" s="29"/>
      <c r="F422" s="111" t="s">
        <v>60</v>
      </c>
      <c r="G422" s="111" t="s">
        <v>61</v>
      </c>
      <c r="H422" s="111">
        <v>80206</v>
      </c>
      <c r="I422" s="93" t="s">
        <v>62</v>
      </c>
      <c r="J422" s="29"/>
      <c r="K422" s="110">
        <v>0</v>
      </c>
      <c r="L422" s="110">
        <v>1</v>
      </c>
      <c r="M422" s="110">
        <v>3158</v>
      </c>
      <c r="N422" s="110">
        <v>0</v>
      </c>
      <c r="O422" s="29" t="s">
        <v>4386</v>
      </c>
      <c r="P422" s="126">
        <v>420</v>
      </c>
      <c r="Q422" t="str">
        <f t="shared" si="6"/>
        <v>SANMARCOPETROLEUMINC240MILWAUKEEDENVER</v>
      </c>
    </row>
    <row r="423" spans="1:17" x14ac:dyDescent="0.25">
      <c r="A423" s="29"/>
      <c r="B423" s="29" t="s">
        <v>4472</v>
      </c>
      <c r="C423" s="92" t="s">
        <v>2893</v>
      </c>
      <c r="D423" s="100" t="s">
        <v>964</v>
      </c>
      <c r="E423" s="29"/>
      <c r="F423" s="93" t="s">
        <v>378</v>
      </c>
      <c r="G423" s="93" t="s">
        <v>80</v>
      </c>
      <c r="H423" s="93">
        <v>75240</v>
      </c>
      <c r="I423" s="93" t="s">
        <v>62</v>
      </c>
      <c r="J423" s="29"/>
      <c r="K423" s="110">
        <v>0</v>
      </c>
      <c r="L423" s="110">
        <v>0</v>
      </c>
      <c r="M423" s="110">
        <v>0</v>
      </c>
      <c r="N423" s="110">
        <v>0</v>
      </c>
      <c r="O423" s="29" t="s">
        <v>4385</v>
      </c>
      <c r="P423" s="126">
        <v>421</v>
      </c>
      <c r="Q423" t="str">
        <f t="shared" si="6"/>
        <v>SANMATEOMIDSTREAMIILLC5400LBJFREEWAYDALLAS</v>
      </c>
    </row>
    <row r="424" spans="1:17" x14ac:dyDescent="0.25">
      <c r="A424" s="29"/>
      <c r="B424" s="29"/>
      <c r="C424" s="94" t="s">
        <v>2899</v>
      </c>
      <c r="D424" s="111" t="s">
        <v>2900</v>
      </c>
      <c r="E424" s="29"/>
      <c r="F424" s="111" t="s">
        <v>1265</v>
      </c>
      <c r="G424" s="111" t="s">
        <v>84</v>
      </c>
      <c r="H424" s="111">
        <v>88260</v>
      </c>
      <c r="I424" s="93" t="s">
        <v>62</v>
      </c>
      <c r="J424" s="29"/>
      <c r="K424" s="110">
        <v>0</v>
      </c>
      <c r="L424" s="110">
        <v>34</v>
      </c>
      <c r="M424" s="110">
        <v>0</v>
      </c>
      <c r="N424" s="110">
        <v>2668</v>
      </c>
      <c r="O424" s="29" t="s">
        <v>4386</v>
      </c>
      <c r="P424" s="126">
        <v>422</v>
      </c>
      <c r="Q424" t="str">
        <f t="shared" si="6"/>
        <v>SANDLOTTENERGY(JACKIEBREWERDBA)POBOX711LOVINGTON</v>
      </c>
    </row>
    <row r="425" spans="1:17" x14ac:dyDescent="0.25">
      <c r="A425" s="29"/>
      <c r="B425" s="29"/>
      <c r="C425" s="94" t="s">
        <v>2907</v>
      </c>
      <c r="D425" s="111" t="s">
        <v>2908</v>
      </c>
      <c r="E425" s="29"/>
      <c r="F425" s="111" t="s">
        <v>83</v>
      </c>
      <c r="G425" s="111" t="s">
        <v>84</v>
      </c>
      <c r="H425" s="111">
        <v>88210</v>
      </c>
      <c r="I425" s="93" t="s">
        <v>62</v>
      </c>
      <c r="J425" s="29"/>
      <c r="K425" s="110">
        <v>1</v>
      </c>
      <c r="L425" s="110">
        <v>0</v>
      </c>
      <c r="M425" s="110">
        <v>156328</v>
      </c>
      <c r="N425" s="110">
        <v>103680</v>
      </c>
      <c r="O425" s="29" t="s">
        <v>4386</v>
      </c>
      <c r="P425" s="126">
        <v>423</v>
      </c>
      <c r="Q425" t="str">
        <f t="shared" si="6"/>
        <v>SANTOPETROLEUMLLCPOBOX1020ARTESIA</v>
      </c>
    </row>
    <row r="426" spans="1:17" x14ac:dyDescent="0.25">
      <c r="A426" s="29"/>
      <c r="B426" s="29"/>
      <c r="C426" s="94" t="s">
        <v>2914</v>
      </c>
      <c r="D426" s="111" t="s">
        <v>2915</v>
      </c>
      <c r="E426" s="29"/>
      <c r="F426" s="111" t="s">
        <v>153</v>
      </c>
      <c r="G426" s="111" t="s">
        <v>80</v>
      </c>
      <c r="H426" s="111">
        <v>79702</v>
      </c>
      <c r="I426" s="93" t="s">
        <v>62</v>
      </c>
      <c r="J426" s="29"/>
      <c r="K426" s="110">
        <v>0</v>
      </c>
      <c r="L426" s="110">
        <v>6</v>
      </c>
      <c r="M426" s="110">
        <v>12201</v>
      </c>
      <c r="N426" s="110">
        <v>336</v>
      </c>
      <c r="O426" s="29" t="s">
        <v>4386</v>
      </c>
      <c r="P426" s="126">
        <v>424</v>
      </c>
      <c r="Q426" t="str">
        <f t="shared" si="6"/>
        <v>SAXETOILCORPORATIONPOBOX187MIDLAND</v>
      </c>
    </row>
    <row r="427" spans="1:17" x14ac:dyDescent="0.25">
      <c r="A427" s="29"/>
      <c r="B427" s="29"/>
      <c r="C427" s="94" t="s">
        <v>2921</v>
      </c>
      <c r="D427" s="111" t="s">
        <v>1687</v>
      </c>
      <c r="E427" s="29"/>
      <c r="F427" s="111" t="s">
        <v>1073</v>
      </c>
      <c r="G427" s="111" t="s">
        <v>84</v>
      </c>
      <c r="H427" s="111">
        <v>87125</v>
      </c>
      <c r="I427" s="93" t="s">
        <v>62</v>
      </c>
      <c r="J427" s="29"/>
      <c r="K427" s="110">
        <v>2</v>
      </c>
      <c r="L427" s="110">
        <v>27</v>
      </c>
      <c r="M427" s="110">
        <v>477165</v>
      </c>
      <c r="N427" s="110">
        <v>1426</v>
      </c>
      <c r="O427" s="29" t="s">
        <v>4386</v>
      </c>
      <c r="P427" s="126">
        <v>425</v>
      </c>
      <c r="Q427" t="str">
        <f t="shared" si="6"/>
        <v>SCHALKDEVELOPMENTCOPOBOX25825ALBUQUERQUE</v>
      </c>
    </row>
    <row r="428" spans="1:17" x14ac:dyDescent="0.25">
      <c r="A428" s="29"/>
      <c r="B428" s="29"/>
      <c r="C428" s="94" t="s">
        <v>2927</v>
      </c>
      <c r="D428" s="111" t="s">
        <v>2928</v>
      </c>
      <c r="E428" s="29"/>
      <c r="F428" s="111" t="s">
        <v>153</v>
      </c>
      <c r="G428" s="111" t="s">
        <v>80</v>
      </c>
      <c r="H428" s="111">
        <v>79701</v>
      </c>
      <c r="I428" s="93" t="s">
        <v>62</v>
      </c>
      <c r="J428" s="29"/>
      <c r="K428" s="110">
        <v>2</v>
      </c>
      <c r="L428" s="110">
        <v>143</v>
      </c>
      <c r="M428" s="110">
        <v>280481</v>
      </c>
      <c r="N428" s="110">
        <v>0</v>
      </c>
      <c r="O428" s="29" t="s">
        <v>4386</v>
      </c>
      <c r="P428" s="126">
        <v>426</v>
      </c>
      <c r="Q428" t="str">
        <f>TRIM(UPPER(SUBSTITUTE(SUBSTITUTE(SUBSTITUTE(SUBSTITUTE(C428&amp;D428&amp;F428," ",""),".",""),",",""),"-","")))</f>
        <v>SCYTHIANLTD300NMARIENFELDMIDLAND</v>
      </c>
    </row>
    <row r="429" spans="1:17" x14ac:dyDescent="0.25">
      <c r="A429" s="29"/>
      <c r="B429" s="29"/>
      <c r="C429" s="94" t="s">
        <v>2935</v>
      </c>
      <c r="D429" s="111" t="s">
        <v>2936</v>
      </c>
      <c r="E429" s="29"/>
      <c r="F429" s="111" t="s">
        <v>148</v>
      </c>
      <c r="G429" s="111" t="s">
        <v>80</v>
      </c>
      <c r="H429" s="111">
        <v>76102</v>
      </c>
      <c r="I429" s="93" t="s">
        <v>62</v>
      </c>
      <c r="J429" s="29"/>
      <c r="K429" s="110">
        <v>3</v>
      </c>
      <c r="L429" s="110">
        <v>55</v>
      </c>
      <c r="M429" s="110">
        <v>111587</v>
      </c>
      <c r="N429" s="110">
        <v>64703</v>
      </c>
      <c r="O429" s="29" t="s">
        <v>4386</v>
      </c>
      <c r="P429" s="126">
        <v>427</v>
      </c>
      <c r="Q429" t="str">
        <f t="shared" ref="Q429:Q492" si="7">TRIM(UPPER(SUBSTITUTE(SUBSTITUTE(SUBSTITUTE(SUBSTITUTE(C429&amp;D429&amp;F429," ",""),".",""),",",""),"-","")))</f>
        <v>SEELYOILCO815W10THSTFTWORTH</v>
      </c>
    </row>
    <row r="430" spans="1:17" x14ac:dyDescent="0.25">
      <c r="A430" s="29"/>
      <c r="B430" s="29"/>
      <c r="C430" s="94" t="s">
        <v>2942</v>
      </c>
      <c r="D430" s="111" t="s">
        <v>2943</v>
      </c>
      <c r="E430" s="111" t="s">
        <v>2944</v>
      </c>
      <c r="F430" s="111" t="s">
        <v>153</v>
      </c>
      <c r="G430" s="111" t="s">
        <v>80</v>
      </c>
      <c r="H430" s="111">
        <v>79702</v>
      </c>
      <c r="I430" s="93" t="s">
        <v>62</v>
      </c>
      <c r="J430" s="29"/>
      <c r="K430" s="110">
        <v>3</v>
      </c>
      <c r="L430" s="110">
        <v>41</v>
      </c>
      <c r="M430" s="110">
        <v>0</v>
      </c>
      <c r="N430" s="110">
        <v>27404</v>
      </c>
      <c r="O430" s="29" t="s">
        <v>4386</v>
      </c>
      <c r="P430" s="126">
        <v>428</v>
      </c>
      <c r="Q430" t="str">
        <f t="shared" si="7"/>
        <v>SEGUROOILANDGASLLC407NBIGSPRINGSTSTE215MIDLAND</v>
      </c>
    </row>
    <row r="431" spans="1:17" x14ac:dyDescent="0.25">
      <c r="A431" s="29"/>
      <c r="B431" s="29"/>
      <c r="C431" s="94" t="s">
        <v>2950</v>
      </c>
      <c r="D431" s="111" t="s">
        <v>2951</v>
      </c>
      <c r="E431" s="111" t="s">
        <v>477</v>
      </c>
      <c r="F431" s="111" t="s">
        <v>83</v>
      </c>
      <c r="G431" s="111" t="s">
        <v>84</v>
      </c>
      <c r="H431" s="111">
        <v>88210</v>
      </c>
      <c r="I431" s="93" t="s">
        <v>62</v>
      </c>
      <c r="J431" s="29"/>
      <c r="K431" s="110">
        <v>0</v>
      </c>
      <c r="L431" s="110">
        <v>29</v>
      </c>
      <c r="M431" s="110">
        <v>18528</v>
      </c>
      <c r="N431" s="110">
        <v>2505</v>
      </c>
      <c r="O431" s="29" t="s">
        <v>4386</v>
      </c>
      <c r="P431" s="126">
        <v>429</v>
      </c>
      <c r="Q431" t="str">
        <f t="shared" si="7"/>
        <v>SELLERS&amp;FULTONOILLLC422WMAINSUITE5ARTESIA</v>
      </c>
    </row>
    <row r="432" spans="1:17" x14ac:dyDescent="0.25">
      <c r="A432" s="29"/>
      <c r="B432" s="29" t="s">
        <v>4472</v>
      </c>
      <c r="C432" s="92" t="s">
        <v>2952</v>
      </c>
      <c r="D432" s="100" t="s">
        <v>2953</v>
      </c>
      <c r="E432" s="29"/>
      <c r="F432" s="93" t="s">
        <v>112</v>
      </c>
      <c r="G432" s="93" t="s">
        <v>80</v>
      </c>
      <c r="H432" s="93">
        <v>77002</v>
      </c>
      <c r="I432" s="93" t="s">
        <v>62</v>
      </c>
      <c r="J432" s="29"/>
      <c r="K432" s="110">
        <v>0</v>
      </c>
      <c r="L432" s="110">
        <v>0</v>
      </c>
      <c r="M432" s="110">
        <v>0</v>
      </c>
      <c r="N432" s="110">
        <v>0</v>
      </c>
      <c r="O432" s="29" t="s">
        <v>4385</v>
      </c>
      <c r="P432" s="126">
        <v>430</v>
      </c>
      <c r="Q432" t="str">
        <f t="shared" si="7"/>
        <v>SENDEROCARLSBADMIDSTREAMLLC1000LOUISIANASTHOUSTON</v>
      </c>
    </row>
    <row r="433" spans="1:17" x14ac:dyDescent="0.25">
      <c r="A433" s="29"/>
      <c r="B433" s="29"/>
      <c r="C433" s="112" t="s">
        <v>4521</v>
      </c>
      <c r="D433" s="100" t="s">
        <v>2959</v>
      </c>
      <c r="E433" s="29"/>
      <c r="F433" s="93" t="s">
        <v>382</v>
      </c>
      <c r="G433" s="93" t="s">
        <v>61</v>
      </c>
      <c r="H433" s="93">
        <v>81302</v>
      </c>
      <c r="I433" s="93" t="s">
        <v>62</v>
      </c>
      <c r="J433" s="29"/>
      <c r="K433" s="110">
        <v>16</v>
      </c>
      <c r="L433" s="110">
        <v>23</v>
      </c>
      <c r="M433" s="110">
        <v>929686</v>
      </c>
      <c r="N433" s="110">
        <v>19109</v>
      </c>
      <c r="O433" s="29" t="s">
        <v>4386</v>
      </c>
      <c r="P433" s="126">
        <v>431</v>
      </c>
      <c r="Q433" t="str">
        <f t="shared" si="7"/>
        <v>SGINTERESTSILTDPOBOX2677DURANGO</v>
      </c>
    </row>
    <row r="434" spans="1:17" x14ac:dyDescent="0.25">
      <c r="A434" s="29"/>
      <c r="B434" s="29"/>
      <c r="C434" s="94" t="s">
        <v>2964</v>
      </c>
      <c r="D434" s="111" t="s">
        <v>2965</v>
      </c>
      <c r="E434" s="29"/>
      <c r="F434" s="111" t="s">
        <v>153</v>
      </c>
      <c r="G434" s="111" t="s">
        <v>80</v>
      </c>
      <c r="H434" s="111">
        <v>79702</v>
      </c>
      <c r="I434" s="93" t="s">
        <v>62</v>
      </c>
      <c r="J434" s="29"/>
      <c r="K434" s="110">
        <v>2</v>
      </c>
      <c r="L434" s="110">
        <v>20</v>
      </c>
      <c r="M434" s="110">
        <v>12793</v>
      </c>
      <c r="N434" s="110">
        <v>27509</v>
      </c>
      <c r="O434" s="29" t="s">
        <v>4386</v>
      </c>
      <c r="P434" s="126">
        <v>432</v>
      </c>
      <c r="Q434" t="str">
        <f t="shared" si="7"/>
        <v>SHACKELFORDOILCOPOBOX10665MIDLAND</v>
      </c>
    </row>
    <row r="435" spans="1:17" x14ac:dyDescent="0.25">
      <c r="A435" s="29"/>
      <c r="B435" s="29" t="s">
        <v>4472</v>
      </c>
      <c r="C435" s="92" t="s">
        <v>2971</v>
      </c>
      <c r="D435" s="100" t="s">
        <v>2972</v>
      </c>
      <c r="E435" s="29"/>
      <c r="F435" s="93" t="s">
        <v>112</v>
      </c>
      <c r="G435" s="93" t="s">
        <v>80</v>
      </c>
      <c r="H435" s="93">
        <v>77046</v>
      </c>
      <c r="I435" s="93" t="s">
        <v>62</v>
      </c>
      <c r="J435" s="29"/>
      <c r="K435" s="110">
        <v>0</v>
      </c>
      <c r="L435" s="110">
        <v>0</v>
      </c>
      <c r="M435" s="110">
        <v>0</v>
      </c>
      <c r="N435" s="110">
        <v>0</v>
      </c>
      <c r="O435" s="29" t="s">
        <v>4385</v>
      </c>
      <c r="P435" s="126">
        <v>433</v>
      </c>
      <c r="Q435" t="str">
        <f t="shared" si="7"/>
        <v>SHERIDANPRODUCTIONCOMPANYLLC1360POSTOAKBLVDHOUSTON</v>
      </c>
    </row>
    <row r="436" spans="1:17" x14ac:dyDescent="0.25">
      <c r="A436" s="29"/>
      <c r="B436" s="29"/>
      <c r="C436" s="94" t="s">
        <v>2978</v>
      </c>
      <c r="D436" s="111" t="s">
        <v>2979</v>
      </c>
      <c r="E436" s="29"/>
      <c r="F436" s="111" t="s">
        <v>153</v>
      </c>
      <c r="G436" s="111" t="s">
        <v>80</v>
      </c>
      <c r="H436" s="111" t="s">
        <v>2980</v>
      </c>
      <c r="I436" s="93" t="s">
        <v>62</v>
      </c>
      <c r="J436" s="29"/>
      <c r="K436" s="110">
        <v>0</v>
      </c>
      <c r="L436" s="110">
        <v>1</v>
      </c>
      <c r="M436" s="110">
        <v>17</v>
      </c>
      <c r="N436" s="110">
        <v>1469</v>
      </c>
      <c r="O436" s="29" t="s">
        <v>4386</v>
      </c>
      <c r="P436" s="126">
        <v>434</v>
      </c>
      <c r="Q436" t="str">
        <f t="shared" si="7"/>
        <v>SHINNERYOILCOMPANYINC606WTENNESSEEAVEMIDLAND</v>
      </c>
    </row>
    <row r="437" spans="1:17" x14ac:dyDescent="0.25">
      <c r="A437" s="29"/>
      <c r="B437" s="29" t="s">
        <v>4472</v>
      </c>
      <c r="C437" s="92" t="s">
        <v>2985</v>
      </c>
      <c r="D437" s="100" t="s">
        <v>2986</v>
      </c>
      <c r="E437" s="29"/>
      <c r="F437" s="93" t="s">
        <v>183</v>
      </c>
      <c r="G437" s="93" t="s">
        <v>184</v>
      </c>
      <c r="H437" s="93">
        <v>74119</v>
      </c>
      <c r="I437" s="93" t="s">
        <v>62</v>
      </c>
      <c r="J437" s="29"/>
      <c r="K437" s="110">
        <v>0</v>
      </c>
      <c r="L437" s="110">
        <v>0</v>
      </c>
      <c r="M437" s="110">
        <v>0</v>
      </c>
      <c r="N437" s="110">
        <v>0</v>
      </c>
      <c r="O437" s="29" t="s">
        <v>4385</v>
      </c>
      <c r="P437" s="126">
        <v>435</v>
      </c>
      <c r="Q437" t="str">
        <f t="shared" si="7"/>
        <v>SHIPROCKMIDSTREAMLLCDBAWHIPTAILMIDSTREAM15WEST6THSTREETTULSA</v>
      </c>
    </row>
    <row r="438" spans="1:17" x14ac:dyDescent="0.25">
      <c r="A438" s="29"/>
      <c r="B438" s="29"/>
      <c r="C438" s="94" t="s">
        <v>2993</v>
      </c>
      <c r="D438" s="111" t="s">
        <v>1623</v>
      </c>
      <c r="E438" s="29"/>
      <c r="F438" s="111" t="s">
        <v>123</v>
      </c>
      <c r="G438" s="111" t="s">
        <v>84</v>
      </c>
      <c r="H438" s="111">
        <v>87402</v>
      </c>
      <c r="I438" s="93" t="s">
        <v>62</v>
      </c>
      <c r="J438" s="29"/>
      <c r="K438" s="110">
        <v>0</v>
      </c>
      <c r="L438" s="110">
        <v>12</v>
      </c>
      <c r="M438" s="110">
        <v>19542</v>
      </c>
      <c r="N438" s="110">
        <v>0</v>
      </c>
      <c r="O438" s="29" t="s">
        <v>4386</v>
      </c>
      <c r="P438" s="126">
        <v>436</v>
      </c>
      <c r="Q438" t="str">
        <f t="shared" si="7"/>
        <v>SHORELINEOIL&amp;GASCOMPANY5006SANDALWOODDRFARMINGTON</v>
      </c>
    </row>
    <row r="439" spans="1:17" x14ac:dyDescent="0.25">
      <c r="A439" s="29"/>
      <c r="B439" s="29"/>
      <c r="C439" s="94" t="s">
        <v>2996</v>
      </c>
      <c r="D439" s="111" t="s">
        <v>2997</v>
      </c>
      <c r="E439" s="29"/>
      <c r="F439" s="111" t="s">
        <v>382</v>
      </c>
      <c r="G439" s="111" t="s">
        <v>61</v>
      </c>
      <c r="H439" s="111">
        <v>81301</v>
      </c>
      <c r="I439" s="93" t="s">
        <v>62</v>
      </c>
      <c r="J439" s="29"/>
      <c r="K439" s="110">
        <v>1259</v>
      </c>
      <c r="L439" s="110">
        <v>940</v>
      </c>
      <c r="M439" s="110">
        <v>100748293</v>
      </c>
      <c r="N439" s="110">
        <v>150071</v>
      </c>
      <c r="O439" s="29" t="s">
        <v>4386</v>
      </c>
      <c r="P439" s="126">
        <v>437</v>
      </c>
      <c r="Q439" t="str">
        <f t="shared" si="7"/>
        <v>SIMCOELLC1199MAINAVEDURANGO</v>
      </c>
    </row>
    <row r="440" spans="1:17" x14ac:dyDescent="0.25">
      <c r="A440" s="29"/>
      <c r="B440" s="29"/>
      <c r="C440" s="94" t="s">
        <v>3002</v>
      </c>
      <c r="D440" s="111" t="s">
        <v>3003</v>
      </c>
      <c r="E440" s="29"/>
      <c r="F440" s="111" t="s">
        <v>209</v>
      </c>
      <c r="G440" s="111" t="s">
        <v>84</v>
      </c>
      <c r="H440" s="111">
        <v>88202</v>
      </c>
      <c r="I440" s="93" t="s">
        <v>62</v>
      </c>
      <c r="J440" s="29"/>
      <c r="K440" s="110">
        <v>0</v>
      </c>
      <c r="L440" s="110">
        <v>85</v>
      </c>
      <c r="M440" s="110">
        <v>38344</v>
      </c>
      <c r="N440" s="110">
        <v>13063</v>
      </c>
      <c r="O440" s="29" t="s">
        <v>4386</v>
      </c>
      <c r="P440" s="126">
        <v>438</v>
      </c>
      <c r="Q440" t="str">
        <f t="shared" si="7"/>
        <v>SLAYTONRESOURCESINCPOBOX2035ROSWELL</v>
      </c>
    </row>
    <row r="441" spans="1:17" x14ac:dyDescent="0.25">
      <c r="A441" s="29"/>
      <c r="B441" s="29"/>
      <c r="C441" s="112" t="s">
        <v>4522</v>
      </c>
      <c r="D441" s="100" t="s">
        <v>3010</v>
      </c>
      <c r="E441" s="29"/>
      <c r="F441" s="93" t="s">
        <v>153</v>
      </c>
      <c r="G441" s="93" t="s">
        <v>80</v>
      </c>
      <c r="H441" s="93">
        <v>79710</v>
      </c>
      <c r="I441" s="93" t="s">
        <v>62</v>
      </c>
      <c r="J441" s="29"/>
      <c r="K441" s="110">
        <v>3</v>
      </c>
      <c r="L441" s="110">
        <v>12</v>
      </c>
      <c r="M441" s="110">
        <v>256135</v>
      </c>
      <c r="N441" s="110">
        <v>10627</v>
      </c>
      <c r="O441" s="29" t="s">
        <v>4386</v>
      </c>
      <c r="P441" s="126">
        <v>439</v>
      </c>
      <c r="Q441" t="str">
        <f t="shared" si="7"/>
        <v>SMCOIL&amp;GASINCPOBOX50907MIDLAND</v>
      </c>
    </row>
    <row r="442" spans="1:17" x14ac:dyDescent="0.25">
      <c r="A442" s="29"/>
      <c r="B442" s="29"/>
      <c r="C442" s="94" t="s">
        <v>3016</v>
      </c>
      <c r="D442" s="111" t="s">
        <v>3017</v>
      </c>
      <c r="E442" s="29"/>
      <c r="F442" s="111" t="s">
        <v>344</v>
      </c>
      <c r="G442" s="111" t="s">
        <v>80</v>
      </c>
      <c r="H442" s="111">
        <v>79714</v>
      </c>
      <c r="I442" s="93" t="s">
        <v>62</v>
      </c>
      <c r="J442" s="29"/>
      <c r="K442" s="110">
        <v>1</v>
      </c>
      <c r="L442" s="110">
        <v>10</v>
      </c>
      <c r="M442" s="110">
        <v>58869</v>
      </c>
      <c r="N442" s="110">
        <v>25593</v>
      </c>
      <c r="O442" s="29" t="s">
        <v>4386</v>
      </c>
      <c r="P442" s="126">
        <v>440</v>
      </c>
      <c r="Q442" t="str">
        <f t="shared" si="7"/>
        <v>SNOWOIL&amp;GASINCPOBOX1277ANDREWS</v>
      </c>
    </row>
    <row r="443" spans="1:17" x14ac:dyDescent="0.25">
      <c r="A443" s="29"/>
      <c r="B443" s="29"/>
      <c r="C443" s="94" t="s">
        <v>3023</v>
      </c>
      <c r="D443" s="111" t="s">
        <v>3024</v>
      </c>
      <c r="E443" s="29"/>
      <c r="F443" s="111" t="s">
        <v>3025</v>
      </c>
      <c r="G443" s="111" t="s">
        <v>80</v>
      </c>
      <c r="H443" s="111">
        <v>76117</v>
      </c>
      <c r="I443" s="93" t="s">
        <v>62</v>
      </c>
      <c r="J443" s="29"/>
      <c r="K443" s="110">
        <v>0</v>
      </c>
      <c r="L443" s="110">
        <v>1</v>
      </c>
      <c r="M443" s="110">
        <v>3490</v>
      </c>
      <c r="N443" s="110">
        <v>0</v>
      </c>
      <c r="O443" s="29" t="s">
        <v>4386</v>
      </c>
      <c r="P443" s="126">
        <v>441</v>
      </c>
      <c r="Q443" t="str">
        <f t="shared" si="7"/>
        <v>SNOWOPERATINGCOINC6300MIDWAYRDHALTOMCITY</v>
      </c>
    </row>
    <row r="444" spans="1:17" x14ac:dyDescent="0.25">
      <c r="A444" s="29"/>
      <c r="B444" s="29"/>
      <c r="C444" s="94" t="s">
        <v>3030</v>
      </c>
      <c r="D444" s="111" t="s">
        <v>3031</v>
      </c>
      <c r="E444" s="29"/>
      <c r="F444" s="111" t="s">
        <v>378</v>
      </c>
      <c r="G444" s="111" t="s">
        <v>80</v>
      </c>
      <c r="H444" s="111">
        <v>75201</v>
      </c>
      <c r="I444" s="93" t="s">
        <v>62</v>
      </c>
      <c r="J444" s="29"/>
      <c r="K444" s="110">
        <v>4</v>
      </c>
      <c r="L444" s="110">
        <v>2</v>
      </c>
      <c r="M444" s="110">
        <v>216898</v>
      </c>
      <c r="N444" s="110">
        <v>0</v>
      </c>
      <c r="O444" s="29" t="s">
        <v>4386</v>
      </c>
      <c r="P444" s="126">
        <v>442</v>
      </c>
      <c r="Q444" t="str">
        <f t="shared" si="7"/>
        <v>SOUTHBOUNDGASCOMPANY1909WOODALLRODGERSFREEWAYDALLAS</v>
      </c>
    </row>
    <row r="445" spans="1:17" x14ac:dyDescent="0.25">
      <c r="A445" s="29"/>
      <c r="B445" s="29"/>
      <c r="C445" s="112" t="s">
        <v>4523</v>
      </c>
      <c r="D445" s="103" t="s">
        <v>3038</v>
      </c>
      <c r="E445" s="29"/>
      <c r="F445" s="93" t="s">
        <v>88</v>
      </c>
      <c r="G445" s="93" t="s">
        <v>80</v>
      </c>
      <c r="H445" s="93">
        <v>76102</v>
      </c>
      <c r="I445" s="93" t="s">
        <v>62</v>
      </c>
      <c r="J445" s="29"/>
      <c r="K445" s="110">
        <v>27</v>
      </c>
      <c r="L445" s="110">
        <v>28</v>
      </c>
      <c r="M445" s="110">
        <v>3097042</v>
      </c>
      <c r="N445" s="110">
        <v>1415</v>
      </c>
      <c r="O445" s="29" t="s">
        <v>4386</v>
      </c>
      <c r="P445" s="126">
        <v>443</v>
      </c>
      <c r="Q445" t="str">
        <f t="shared" si="7"/>
        <v>SOUTHLANDROYALTYCOMPANYLLC400W7THSTFORTWORTH</v>
      </c>
    </row>
    <row r="446" spans="1:17" x14ac:dyDescent="0.25">
      <c r="A446" s="29"/>
      <c r="B446" s="29" t="s">
        <v>4472</v>
      </c>
      <c r="C446" s="92" t="s">
        <v>3042</v>
      </c>
      <c r="D446" s="100" t="s">
        <v>3043</v>
      </c>
      <c r="E446" s="29"/>
      <c r="F446" s="93" t="s">
        <v>523</v>
      </c>
      <c r="G446" s="93" t="s">
        <v>80</v>
      </c>
      <c r="H446" s="93">
        <v>70765</v>
      </c>
      <c r="I446" s="93" t="s">
        <v>62</v>
      </c>
      <c r="J446" s="29"/>
      <c r="K446" s="110">
        <v>0</v>
      </c>
      <c r="L446" s="110">
        <v>0</v>
      </c>
      <c r="M446" s="110">
        <v>0</v>
      </c>
      <c r="N446" s="110">
        <v>0</v>
      </c>
      <c r="O446" s="29" t="s">
        <v>4385</v>
      </c>
      <c r="P446" s="126">
        <v>444</v>
      </c>
      <c r="Q446" t="str">
        <f t="shared" si="7"/>
        <v>SOUTHTEXTREATERS8180LAKEVIEWCENTERODESSA</v>
      </c>
    </row>
    <row r="447" spans="1:17" x14ac:dyDescent="0.25">
      <c r="A447" s="29"/>
      <c r="B447" s="29"/>
      <c r="C447" s="94" t="s">
        <v>3044</v>
      </c>
      <c r="D447" s="111" t="s">
        <v>3045</v>
      </c>
      <c r="E447" s="29"/>
      <c r="F447" s="111" t="s">
        <v>153</v>
      </c>
      <c r="G447" s="111" t="s">
        <v>80</v>
      </c>
      <c r="H447" s="111">
        <v>79710</v>
      </c>
      <c r="I447" s="93" t="s">
        <v>62</v>
      </c>
      <c r="J447" s="29"/>
      <c r="K447" s="110">
        <v>34</v>
      </c>
      <c r="L447" s="110">
        <v>314</v>
      </c>
      <c r="M447" s="110">
        <v>3841838</v>
      </c>
      <c r="N447" s="110">
        <v>372234</v>
      </c>
      <c r="O447" s="29" t="s">
        <v>4386</v>
      </c>
      <c r="P447" s="126">
        <v>445</v>
      </c>
      <c r="Q447" t="str">
        <f t="shared" si="7"/>
        <v>SOUTHWESTROYALTIESINCPOBOX53570MIDLAND</v>
      </c>
    </row>
    <row r="448" spans="1:17" x14ac:dyDescent="0.25">
      <c r="A448" s="29"/>
      <c r="B448" s="29"/>
      <c r="C448" s="94" t="s">
        <v>3057</v>
      </c>
      <c r="D448" s="111" t="s">
        <v>3058</v>
      </c>
      <c r="E448" s="29"/>
      <c r="F448" s="111" t="s">
        <v>112</v>
      </c>
      <c r="G448" s="111" t="s">
        <v>80</v>
      </c>
      <c r="H448" s="111">
        <v>77056</v>
      </c>
      <c r="I448" s="93" t="s">
        <v>62</v>
      </c>
      <c r="J448" s="29"/>
      <c r="K448" s="110">
        <v>2</v>
      </c>
      <c r="L448" s="110">
        <v>6</v>
      </c>
      <c r="M448" s="110">
        <v>133533</v>
      </c>
      <c r="N448" s="110">
        <v>9139</v>
      </c>
      <c r="O448" s="29" t="s">
        <v>4386</v>
      </c>
      <c r="P448" s="126">
        <v>446</v>
      </c>
      <c r="Q448" t="str">
        <f t="shared" si="7"/>
        <v>SOZONATURALRESOURCESLLC5005RIVERWAYDRHOUSTON</v>
      </c>
    </row>
    <row r="449" spans="1:17" x14ac:dyDescent="0.25">
      <c r="A449" s="29"/>
      <c r="B449" s="29"/>
      <c r="C449" s="94" t="s">
        <v>3063</v>
      </c>
      <c r="D449" s="111" t="s">
        <v>2908</v>
      </c>
      <c r="E449" s="29"/>
      <c r="F449" s="111" t="s">
        <v>83</v>
      </c>
      <c r="G449" s="111" t="s">
        <v>84</v>
      </c>
      <c r="H449" s="111">
        <v>88211</v>
      </c>
      <c r="I449" s="93" t="s">
        <v>62</v>
      </c>
      <c r="J449" s="29"/>
      <c r="K449" s="110">
        <v>8</v>
      </c>
      <c r="L449" s="110">
        <v>9</v>
      </c>
      <c r="M449" s="110">
        <v>711667</v>
      </c>
      <c r="N449" s="110">
        <v>3158</v>
      </c>
      <c r="O449" s="29" t="s">
        <v>4386</v>
      </c>
      <c r="P449" s="126">
        <v>447</v>
      </c>
      <c r="Q449" t="str">
        <f t="shared" si="7"/>
        <v>SPCRESOURCESLLCPOBOX1020ARTESIA</v>
      </c>
    </row>
    <row r="450" spans="1:17" x14ac:dyDescent="0.25">
      <c r="A450" s="29"/>
      <c r="B450" s="29"/>
      <c r="C450" s="94" t="s">
        <v>3066</v>
      </c>
      <c r="D450" s="111" t="s">
        <v>3067</v>
      </c>
      <c r="E450" s="29"/>
      <c r="F450" s="111" t="s">
        <v>3068</v>
      </c>
      <c r="G450" s="111" t="s">
        <v>184</v>
      </c>
      <c r="H450" s="111">
        <v>74076</v>
      </c>
      <c r="I450" s="93" t="s">
        <v>62</v>
      </c>
      <c r="J450" s="29"/>
      <c r="K450" s="110">
        <v>8</v>
      </c>
      <c r="L450" s="110">
        <v>13</v>
      </c>
      <c r="M450" s="110">
        <v>144644</v>
      </c>
      <c r="N450" s="110">
        <v>29644</v>
      </c>
      <c r="O450" s="29" t="s">
        <v>4386</v>
      </c>
      <c r="P450" s="126">
        <v>448</v>
      </c>
      <c r="Q450" t="str">
        <f t="shared" si="7"/>
        <v>SPECIALENERGYCORPPODRAWER369STILLWATER</v>
      </c>
    </row>
    <row r="451" spans="1:17" x14ac:dyDescent="0.25">
      <c r="A451" s="29"/>
      <c r="B451" s="29"/>
      <c r="C451" s="94" t="s">
        <v>3074</v>
      </c>
      <c r="D451" s="111" t="s">
        <v>3075</v>
      </c>
      <c r="E451" s="29"/>
      <c r="F451" s="111" t="s">
        <v>378</v>
      </c>
      <c r="G451" s="111" t="s">
        <v>80</v>
      </c>
      <c r="H451" s="111">
        <v>75230</v>
      </c>
      <c r="I451" s="93" t="s">
        <v>62</v>
      </c>
      <c r="J451" s="29"/>
      <c r="K451" s="110">
        <v>1</v>
      </c>
      <c r="L451" s="110">
        <v>5</v>
      </c>
      <c r="M451" s="110">
        <v>13295</v>
      </c>
      <c r="N451" s="110">
        <v>2013</v>
      </c>
      <c r="O451" s="29" t="s">
        <v>4386</v>
      </c>
      <c r="P451" s="126">
        <v>449</v>
      </c>
      <c r="Q451" t="str">
        <f t="shared" si="7"/>
        <v>SPINDLETOPOIL&amp;GASCO12850SPURLINGRDDALLAS</v>
      </c>
    </row>
    <row r="452" spans="1:17" x14ac:dyDescent="0.25">
      <c r="A452" s="29"/>
      <c r="B452" s="29"/>
      <c r="C452" s="94" t="s">
        <v>3082</v>
      </c>
      <c r="D452" s="100" t="s">
        <v>3083</v>
      </c>
      <c r="E452" s="29"/>
      <c r="F452" s="93" t="s">
        <v>112</v>
      </c>
      <c r="G452" s="93" t="s">
        <v>80</v>
      </c>
      <c r="H452" s="93">
        <v>77024</v>
      </c>
      <c r="I452" s="93" t="s">
        <v>62</v>
      </c>
      <c r="J452" s="29"/>
      <c r="K452" s="110">
        <v>448</v>
      </c>
      <c r="L452" s="110">
        <v>2181</v>
      </c>
      <c r="M452" s="110">
        <v>36088510</v>
      </c>
      <c r="N452" s="110">
        <v>9502948</v>
      </c>
      <c r="O452" s="29" t="s">
        <v>4386</v>
      </c>
      <c r="P452" s="126">
        <v>450</v>
      </c>
      <c r="Q452" t="str">
        <f t="shared" si="7"/>
        <v>SPURENERGYPARTNERSLLC9655KATYFREEWAYHOUSTON</v>
      </c>
    </row>
    <row r="453" spans="1:17" x14ac:dyDescent="0.25">
      <c r="A453" s="29"/>
      <c r="B453" s="29"/>
      <c r="C453" s="94" t="s">
        <v>3089</v>
      </c>
      <c r="D453" s="111" t="s">
        <v>2202</v>
      </c>
      <c r="E453" s="29"/>
      <c r="F453" s="111" t="s">
        <v>2203</v>
      </c>
      <c r="G453" s="111" t="s">
        <v>80</v>
      </c>
      <c r="H453" s="111">
        <v>750801946</v>
      </c>
      <c r="I453" s="93" t="s">
        <v>62</v>
      </c>
      <c r="J453" s="29"/>
      <c r="K453" s="110">
        <v>0</v>
      </c>
      <c r="L453" s="110">
        <v>1</v>
      </c>
      <c r="M453" s="110">
        <v>10444</v>
      </c>
      <c r="N453" s="110">
        <v>0</v>
      </c>
      <c r="O453" s="29" t="s">
        <v>4386</v>
      </c>
      <c r="P453" s="126">
        <v>451</v>
      </c>
      <c r="Q453" t="str">
        <f t="shared" si="7"/>
        <v>STANDARDSILVERCORP314WOODCRESTDRRICHARDSON</v>
      </c>
    </row>
    <row r="454" spans="1:17" x14ac:dyDescent="0.25">
      <c r="A454" s="29"/>
      <c r="B454" s="29" t="s">
        <v>4472</v>
      </c>
      <c r="C454" s="92" t="s">
        <v>3090</v>
      </c>
      <c r="D454" s="100" t="s">
        <v>3091</v>
      </c>
      <c r="E454" s="29"/>
      <c r="F454" s="93" t="s">
        <v>60</v>
      </c>
      <c r="G454" s="93" t="s">
        <v>61</v>
      </c>
      <c r="H454" s="93">
        <v>80202</v>
      </c>
      <c r="I454" s="93" t="s">
        <v>62</v>
      </c>
      <c r="J454" s="29"/>
      <c r="K454" s="110">
        <v>0</v>
      </c>
      <c r="L454" s="110">
        <v>0</v>
      </c>
      <c r="M454" s="110">
        <v>0</v>
      </c>
      <c r="N454" s="110">
        <v>0</v>
      </c>
      <c r="O454" s="29" t="s">
        <v>4385</v>
      </c>
      <c r="P454" s="126">
        <v>452</v>
      </c>
      <c r="Q454" t="str">
        <f t="shared" si="7"/>
        <v>STATELINEGATHERINGLLC100117THSTDENVER</v>
      </c>
    </row>
    <row r="455" spans="1:17" x14ac:dyDescent="0.25">
      <c r="A455" s="29"/>
      <c r="B455" s="29"/>
      <c r="C455" s="94" t="s">
        <v>3092</v>
      </c>
      <c r="D455" s="111" t="s">
        <v>3093</v>
      </c>
      <c r="E455" s="29"/>
      <c r="F455" s="111" t="s">
        <v>291</v>
      </c>
      <c r="G455" s="111" t="s">
        <v>84</v>
      </c>
      <c r="H455" s="111">
        <v>88114</v>
      </c>
      <c r="I455" s="93" t="s">
        <v>62</v>
      </c>
      <c r="J455" s="29"/>
      <c r="K455" s="110">
        <v>2</v>
      </c>
      <c r="L455" s="110">
        <v>4</v>
      </c>
      <c r="M455" s="110">
        <v>17682</v>
      </c>
      <c r="N455" s="110">
        <v>3499</v>
      </c>
      <c r="O455" s="29" t="s">
        <v>4386</v>
      </c>
      <c r="P455" s="126">
        <v>453</v>
      </c>
      <c r="Q455" t="str">
        <f t="shared" si="7"/>
        <v>STEARNSHC65BOX900CROSSROADS</v>
      </c>
    </row>
    <row r="456" spans="1:17" x14ac:dyDescent="0.25">
      <c r="A456" s="29"/>
      <c r="B456" s="29"/>
      <c r="C456" s="94" t="s">
        <v>3099</v>
      </c>
      <c r="D456" s="111" t="s">
        <v>3100</v>
      </c>
      <c r="E456" s="29"/>
      <c r="F456" s="111" t="s">
        <v>418</v>
      </c>
      <c r="G456" s="111" t="s">
        <v>80</v>
      </c>
      <c r="H456" s="111">
        <v>76307</v>
      </c>
      <c r="I456" s="93" t="s">
        <v>62</v>
      </c>
      <c r="J456" s="29"/>
      <c r="K456" s="110">
        <v>16</v>
      </c>
      <c r="L456" s="110">
        <v>183</v>
      </c>
      <c r="M456" s="110">
        <v>1573198</v>
      </c>
      <c r="N456" s="110">
        <v>284792</v>
      </c>
      <c r="O456" s="29" t="s">
        <v>4386</v>
      </c>
      <c r="P456" s="126">
        <v>454</v>
      </c>
      <c r="Q456" t="str">
        <f t="shared" si="7"/>
        <v>STEPHENS&amp;JOHNSONOPCOPOBOX2249WICHITAFALLS</v>
      </c>
    </row>
    <row r="457" spans="1:17" x14ac:dyDescent="0.25">
      <c r="A457" s="29"/>
      <c r="B457" s="29"/>
      <c r="C457" s="94" t="s">
        <v>3108</v>
      </c>
      <c r="D457" s="111" t="s">
        <v>3109</v>
      </c>
      <c r="E457" s="29"/>
      <c r="F457" s="111" t="s">
        <v>3110</v>
      </c>
      <c r="G457" s="111" t="s">
        <v>84</v>
      </c>
      <c r="H457" s="111">
        <v>87574</v>
      </c>
      <c r="I457" s="93" t="s">
        <v>62</v>
      </c>
      <c r="J457" s="29"/>
      <c r="K457" s="110">
        <v>0</v>
      </c>
      <c r="L457" s="110">
        <v>3</v>
      </c>
      <c r="M457" s="110">
        <v>1930</v>
      </c>
      <c r="N457" s="110">
        <v>4491</v>
      </c>
      <c r="O457" s="29" t="s">
        <v>4386</v>
      </c>
      <c r="P457" s="126">
        <v>455</v>
      </c>
      <c r="Q457" t="str">
        <f t="shared" si="7"/>
        <v>STEVENDRUPPERTPOBOX550TESUQUE</v>
      </c>
    </row>
    <row r="458" spans="1:17" x14ac:dyDescent="0.25">
      <c r="A458" s="29"/>
      <c r="B458" s="29"/>
      <c r="C458" s="94" t="s">
        <v>3111</v>
      </c>
      <c r="D458" s="111" t="s">
        <v>3112</v>
      </c>
      <c r="E458" s="29"/>
      <c r="F458" s="111" t="s">
        <v>1265</v>
      </c>
      <c r="G458" s="111" t="s">
        <v>84</v>
      </c>
      <c r="H458" s="111">
        <v>88260</v>
      </c>
      <c r="I458" s="93" t="s">
        <v>62</v>
      </c>
      <c r="J458" s="29"/>
      <c r="K458" s="110">
        <v>3</v>
      </c>
      <c r="L458" s="110">
        <v>16</v>
      </c>
      <c r="M458" s="110">
        <v>18030</v>
      </c>
      <c r="N458" s="110">
        <v>3771</v>
      </c>
      <c r="O458" s="29" t="s">
        <v>4386</v>
      </c>
      <c r="P458" s="126">
        <v>456</v>
      </c>
      <c r="Q458" t="str">
        <f t="shared" si="7"/>
        <v>STEVENSONOILCOMPANYINC1709N9THLOVINGTON</v>
      </c>
    </row>
    <row r="459" spans="1:17" x14ac:dyDescent="0.25">
      <c r="A459" s="29"/>
      <c r="B459" s="29"/>
      <c r="C459" s="112" t="s">
        <v>4524</v>
      </c>
      <c r="D459" s="100" t="s">
        <v>3114</v>
      </c>
      <c r="E459" s="29"/>
      <c r="F459" s="93" t="s">
        <v>3115</v>
      </c>
      <c r="G459" s="93" t="s">
        <v>80</v>
      </c>
      <c r="H459" s="93">
        <v>75034</v>
      </c>
      <c r="I459" s="93" t="s">
        <v>62</v>
      </c>
      <c r="J459" s="29"/>
      <c r="K459" s="110">
        <v>12</v>
      </c>
      <c r="L459" s="110">
        <v>2</v>
      </c>
      <c r="M459" s="110">
        <v>924303</v>
      </c>
      <c r="N459" s="110">
        <v>678354</v>
      </c>
      <c r="O459" s="29" t="s">
        <v>4386</v>
      </c>
      <c r="P459" s="126">
        <v>457</v>
      </c>
      <c r="Q459" t="str">
        <f t="shared" si="7"/>
        <v>STEWARDENERGYIILLC2600NDALLASPKWYFRISCO</v>
      </c>
    </row>
    <row r="460" spans="1:17" x14ac:dyDescent="0.25">
      <c r="A460" s="29"/>
      <c r="B460" s="29"/>
      <c r="C460" s="94" t="s">
        <v>3121</v>
      </c>
      <c r="D460" s="111" t="s">
        <v>3122</v>
      </c>
      <c r="E460" s="29"/>
      <c r="F460" s="111" t="s">
        <v>209</v>
      </c>
      <c r="G460" s="111" t="s">
        <v>84</v>
      </c>
      <c r="H460" s="111">
        <v>882021030</v>
      </c>
      <c r="I460" s="93" t="s">
        <v>62</v>
      </c>
      <c r="J460" s="29"/>
      <c r="K460" s="110">
        <v>10</v>
      </c>
      <c r="L460" s="110">
        <v>22</v>
      </c>
      <c r="M460" s="110">
        <v>610167</v>
      </c>
      <c r="N460" s="110">
        <v>279832</v>
      </c>
      <c r="O460" s="29" t="s">
        <v>4386</v>
      </c>
      <c r="P460" s="126">
        <v>458</v>
      </c>
      <c r="Q460" t="str">
        <f t="shared" si="7"/>
        <v>STRATAPRODUCTIONCOPOBOX1030ROSWELL</v>
      </c>
    </row>
    <row r="461" spans="1:17" x14ac:dyDescent="0.25">
      <c r="A461" s="29"/>
      <c r="B461" s="29" t="s">
        <v>4472</v>
      </c>
      <c r="C461" s="92" t="s">
        <v>3128</v>
      </c>
      <c r="D461" s="105" t="s">
        <v>3129</v>
      </c>
      <c r="E461" s="29"/>
      <c r="F461" s="93" t="s">
        <v>60</v>
      </c>
      <c r="G461" s="93" t="s">
        <v>61</v>
      </c>
      <c r="H461" s="93">
        <v>80202</v>
      </c>
      <c r="I461" s="93" t="s">
        <v>62</v>
      </c>
      <c r="J461" s="29"/>
      <c r="K461" s="110">
        <v>0</v>
      </c>
      <c r="L461" s="110">
        <v>0</v>
      </c>
      <c r="M461" s="110">
        <v>0</v>
      </c>
      <c r="N461" s="110">
        <v>0</v>
      </c>
      <c r="O461" s="29" t="s">
        <v>4385</v>
      </c>
      <c r="P461" s="126">
        <v>459</v>
      </c>
      <c r="Q461" t="str">
        <f t="shared" si="7"/>
        <v>SUMMITMIDSTREAMPERMIANLLCCARLSBAD99918THSTREETDENVER</v>
      </c>
    </row>
    <row r="462" spans="1:17" x14ac:dyDescent="0.25">
      <c r="A462" s="29"/>
      <c r="B462" s="29" t="s">
        <v>4472</v>
      </c>
      <c r="C462" s="92" t="s">
        <v>3137</v>
      </c>
      <c r="D462" s="105" t="s">
        <v>3138</v>
      </c>
      <c r="E462" s="29"/>
      <c r="F462" s="93" t="s">
        <v>161</v>
      </c>
      <c r="G462" s="93" t="s">
        <v>80</v>
      </c>
      <c r="H462" s="93">
        <v>77380</v>
      </c>
      <c r="I462" s="93" t="s">
        <v>62</v>
      </c>
      <c r="J462" s="29"/>
      <c r="K462" s="110">
        <v>0</v>
      </c>
      <c r="L462" s="110">
        <v>0</v>
      </c>
      <c r="M462" s="110">
        <v>0</v>
      </c>
      <c r="N462" s="110">
        <v>0</v>
      </c>
      <c r="O462" s="29" t="s">
        <v>4385</v>
      </c>
      <c r="P462" s="126">
        <v>460</v>
      </c>
      <c r="Q462" t="str">
        <f t="shared" si="7"/>
        <v>SUMMITMIDSTREAMPERMIANLLCHOUSTON1790HUGHESLANDINGBLVDTHEWOODLANDS</v>
      </c>
    </row>
    <row r="463" spans="1:17" x14ac:dyDescent="0.25">
      <c r="A463" s="29"/>
      <c r="B463" s="29" t="s">
        <v>4472</v>
      </c>
      <c r="C463" s="92" t="s">
        <v>3137</v>
      </c>
      <c r="D463" s="100" t="s">
        <v>3143</v>
      </c>
      <c r="E463" s="29"/>
      <c r="F463" s="93" t="s">
        <v>112</v>
      </c>
      <c r="G463" s="93" t="s">
        <v>80</v>
      </c>
      <c r="H463" s="93">
        <v>77002</v>
      </c>
      <c r="I463" s="93" t="s">
        <v>62</v>
      </c>
      <c r="J463" s="29"/>
      <c r="K463" s="110">
        <v>0</v>
      </c>
      <c r="L463" s="110">
        <v>0</v>
      </c>
      <c r="M463" s="110">
        <v>0</v>
      </c>
      <c r="N463" s="110">
        <v>0</v>
      </c>
      <c r="O463" s="29" t="s">
        <v>4385</v>
      </c>
      <c r="P463" s="126">
        <v>461</v>
      </c>
      <c r="Q463" t="str">
        <f t="shared" si="7"/>
        <v>SUMMITMIDSTREAMPERMIANLLCHOUSTON910LOUISIANASTREETHOUSTON</v>
      </c>
    </row>
    <row r="464" spans="1:17" x14ac:dyDescent="0.25">
      <c r="A464" s="29"/>
      <c r="B464" s="29"/>
      <c r="C464" s="94" t="s">
        <v>3147</v>
      </c>
      <c r="D464" s="111" t="s">
        <v>3148</v>
      </c>
      <c r="E464" s="29"/>
      <c r="F464" s="111" t="s">
        <v>1203</v>
      </c>
      <c r="G464" s="111" t="s">
        <v>184</v>
      </c>
      <c r="H464" s="111">
        <v>73083</v>
      </c>
      <c r="I464" s="93" t="s">
        <v>62</v>
      </c>
      <c r="J464" s="29"/>
      <c r="K464" s="110">
        <v>0</v>
      </c>
      <c r="L464" s="110">
        <v>2</v>
      </c>
      <c r="M464" s="110">
        <v>0</v>
      </c>
      <c r="N464" s="110">
        <v>511</v>
      </c>
      <c r="O464" s="29" t="s">
        <v>4386</v>
      </c>
      <c r="P464" s="126">
        <v>462</v>
      </c>
      <c r="Q464" t="str">
        <f t="shared" si="7"/>
        <v>SUMMITRESOURCESMANAGEMENTLLCPOBOX6092EDMOND</v>
      </c>
    </row>
    <row r="465" spans="1:17" x14ac:dyDescent="0.25">
      <c r="A465" s="29"/>
      <c r="B465" s="29"/>
      <c r="C465" s="112" t="s">
        <v>4525</v>
      </c>
      <c r="D465" s="98" t="s">
        <v>3154</v>
      </c>
      <c r="E465" s="29"/>
      <c r="F465" s="98" t="s">
        <v>378</v>
      </c>
      <c r="G465" s="100" t="s">
        <v>80</v>
      </c>
      <c r="H465" s="100" t="s">
        <v>3155</v>
      </c>
      <c r="I465" s="93" t="s">
        <v>62</v>
      </c>
      <c r="J465" s="29"/>
      <c r="K465" s="110">
        <v>4</v>
      </c>
      <c r="L465" s="110">
        <v>21</v>
      </c>
      <c r="M465" s="110">
        <v>51469</v>
      </c>
      <c r="N465" s="110">
        <v>49833</v>
      </c>
      <c r="O465" s="29" t="s">
        <v>4386</v>
      </c>
      <c r="P465" s="126">
        <v>463</v>
      </c>
      <c r="Q465" t="str">
        <f t="shared" si="7"/>
        <v>SUNDOWNENERGYLP16400DALLASPKWYSTE100DALLAS</v>
      </c>
    </row>
    <row r="466" spans="1:17" x14ac:dyDescent="0.25">
      <c r="A466" s="29"/>
      <c r="B466" s="29"/>
      <c r="C466" s="94" t="s">
        <v>3160</v>
      </c>
      <c r="D466" s="111" t="s">
        <v>3161</v>
      </c>
      <c r="E466" s="29"/>
      <c r="F466" s="111" t="s">
        <v>3162</v>
      </c>
      <c r="G466" s="111" t="s">
        <v>80</v>
      </c>
      <c r="H466" s="111">
        <v>79015</v>
      </c>
      <c r="I466" s="93" t="s">
        <v>62</v>
      </c>
      <c r="J466" s="29"/>
      <c r="K466" s="110">
        <v>0</v>
      </c>
      <c r="L466" s="110">
        <v>2</v>
      </c>
      <c r="M466" s="110">
        <v>0</v>
      </c>
      <c r="N466" s="110">
        <v>4875</v>
      </c>
      <c r="O466" s="29" t="s">
        <v>4386</v>
      </c>
      <c r="P466" s="126">
        <v>464</v>
      </c>
      <c r="Q466" t="str">
        <f t="shared" si="7"/>
        <v>SUNLIGHTEXPLORATIONINC141523RDSTREETCANYON</v>
      </c>
    </row>
    <row r="467" spans="1:17" x14ac:dyDescent="0.25">
      <c r="A467" s="29"/>
      <c r="B467" s="29"/>
      <c r="C467" s="94" t="s">
        <v>3168</v>
      </c>
      <c r="D467" s="111" t="s">
        <v>3169</v>
      </c>
      <c r="E467" s="29"/>
      <c r="F467" s="111" t="s">
        <v>123</v>
      </c>
      <c r="G467" s="111" t="s">
        <v>84</v>
      </c>
      <c r="H467" s="111">
        <v>87401</v>
      </c>
      <c r="I467" s="93" t="s">
        <v>62</v>
      </c>
      <c r="J467" s="29"/>
      <c r="K467" s="110">
        <v>2</v>
      </c>
      <c r="L467" s="110">
        <v>8</v>
      </c>
      <c r="M467" s="110">
        <v>37580</v>
      </c>
      <c r="N467" s="110">
        <v>216</v>
      </c>
      <c r="O467" s="29" t="s">
        <v>4386</v>
      </c>
      <c r="P467" s="126">
        <v>465</v>
      </c>
      <c r="Q467" t="str">
        <f t="shared" si="7"/>
        <v>SUNSET2018LLC3108NSUNSETAVEFARMINGTON</v>
      </c>
    </row>
    <row r="468" spans="1:17" x14ac:dyDescent="0.25">
      <c r="A468" s="29"/>
      <c r="B468" s="29" t="s">
        <v>4472</v>
      </c>
      <c r="C468" s="92" t="s">
        <v>3170</v>
      </c>
      <c r="D468" s="106" t="s">
        <v>3171</v>
      </c>
      <c r="E468" s="29"/>
      <c r="F468" s="93" t="s">
        <v>183</v>
      </c>
      <c r="G468" s="93" t="s">
        <v>184</v>
      </c>
      <c r="H468" s="93" t="s">
        <v>3172</v>
      </c>
      <c r="I468" s="93" t="s">
        <v>62</v>
      </c>
      <c r="J468" s="29"/>
      <c r="K468" s="110">
        <v>0</v>
      </c>
      <c r="L468" s="110">
        <v>0</v>
      </c>
      <c r="M468" s="110">
        <v>0</v>
      </c>
      <c r="N468" s="110">
        <v>0</v>
      </c>
      <c r="O468" s="29" t="s">
        <v>4385</v>
      </c>
      <c r="P468" s="126">
        <v>466</v>
      </c>
      <c r="Q468" t="str">
        <f t="shared" si="7"/>
        <v>SUPERIORPIPELINEPOBOX702500TULSA</v>
      </c>
    </row>
    <row r="469" spans="1:17" x14ac:dyDescent="0.25">
      <c r="A469" s="29"/>
      <c r="B469" s="29"/>
      <c r="C469" s="94" t="s">
        <v>3180</v>
      </c>
      <c r="D469" s="111" t="s">
        <v>3181</v>
      </c>
      <c r="E469" s="29"/>
      <c r="F469" s="111" t="s">
        <v>123</v>
      </c>
      <c r="G469" s="111" t="s">
        <v>84</v>
      </c>
      <c r="H469" s="111">
        <v>87499</v>
      </c>
      <c r="I469" s="93" t="s">
        <v>62</v>
      </c>
      <c r="J469" s="29"/>
      <c r="K469" s="110">
        <v>5</v>
      </c>
      <c r="L469" s="110">
        <v>11</v>
      </c>
      <c r="M469" s="110">
        <v>108808</v>
      </c>
      <c r="N469" s="110">
        <v>2763</v>
      </c>
      <c r="O469" s="29" t="s">
        <v>4386</v>
      </c>
      <c r="P469" s="126">
        <v>467</v>
      </c>
      <c r="Q469" t="str">
        <f t="shared" si="7"/>
        <v>SYNERGYOPERATINGLLCPOBOX5513FARMINGTON</v>
      </c>
    </row>
    <row r="470" spans="1:17" x14ac:dyDescent="0.25">
      <c r="A470" s="29"/>
      <c r="B470" s="29"/>
      <c r="C470" s="94" t="s">
        <v>3188</v>
      </c>
      <c r="D470" s="111" t="s">
        <v>3189</v>
      </c>
      <c r="E470" s="29"/>
      <c r="F470" s="111" t="s">
        <v>3190</v>
      </c>
      <c r="G470" s="111" t="s">
        <v>3191</v>
      </c>
      <c r="H470" s="111" t="s">
        <v>3192</v>
      </c>
      <c r="I470" s="111" t="s">
        <v>2337</v>
      </c>
      <c r="J470" s="29"/>
      <c r="K470" s="110">
        <v>6</v>
      </c>
      <c r="L470" s="110">
        <v>4</v>
      </c>
      <c r="M470" s="110">
        <v>140844</v>
      </c>
      <c r="N470" s="110">
        <v>1338</v>
      </c>
      <c r="O470" s="29" t="s">
        <v>4386</v>
      </c>
      <c r="P470" s="126">
        <v>468</v>
      </c>
      <c r="Q470" t="str">
        <f t="shared" si="7"/>
        <v>TACITUSLLC17707006THAVESWCALGARYALBERTA</v>
      </c>
    </row>
    <row r="471" spans="1:17" x14ac:dyDescent="0.25">
      <c r="A471" s="29"/>
      <c r="B471" s="29"/>
      <c r="C471" s="94" t="s">
        <v>3193</v>
      </c>
      <c r="D471" s="105" t="s">
        <v>3194</v>
      </c>
      <c r="E471" s="29"/>
      <c r="F471" s="111" t="s">
        <v>153</v>
      </c>
      <c r="G471" s="111" t="s">
        <v>80</v>
      </c>
      <c r="H471" s="111" t="s">
        <v>3195</v>
      </c>
      <c r="I471" s="93" t="s">
        <v>62</v>
      </c>
      <c r="J471" s="29"/>
      <c r="K471" s="110">
        <v>0</v>
      </c>
      <c r="L471" s="110">
        <v>10</v>
      </c>
      <c r="M471" s="110">
        <v>41524</v>
      </c>
      <c r="N471" s="110">
        <v>9547</v>
      </c>
      <c r="O471" s="29" t="s">
        <v>4386</v>
      </c>
      <c r="P471" s="126">
        <v>469</v>
      </c>
      <c r="Q471" t="str">
        <f t="shared" si="7"/>
        <v>TAMARACKPETROLEUMCOINC303WWALLSTMIDLAND</v>
      </c>
    </row>
    <row r="472" spans="1:17" x14ac:dyDescent="0.25">
      <c r="A472" s="29"/>
      <c r="B472" s="29"/>
      <c r="C472" s="94" t="s">
        <v>3202</v>
      </c>
      <c r="D472" s="111" t="s">
        <v>3203</v>
      </c>
      <c r="E472" s="29"/>
      <c r="F472" s="111" t="s">
        <v>246</v>
      </c>
      <c r="G472" s="111" t="s">
        <v>80</v>
      </c>
      <c r="H472" s="111">
        <v>750866937</v>
      </c>
      <c r="I472" s="93" t="s">
        <v>62</v>
      </c>
      <c r="J472" s="29"/>
      <c r="K472" s="110">
        <v>2</v>
      </c>
      <c r="L472" s="110">
        <v>0</v>
      </c>
      <c r="M472" s="110">
        <v>11997</v>
      </c>
      <c r="N472" s="110">
        <v>19419</v>
      </c>
      <c r="O472" s="29" t="s">
        <v>4386</v>
      </c>
      <c r="P472" s="126">
        <v>470</v>
      </c>
      <c r="Q472" t="str">
        <f t="shared" si="7"/>
        <v>TAMAROAOPERATINGLLCPOBOX866937PLANO</v>
      </c>
    </row>
    <row r="473" spans="1:17" x14ac:dyDescent="0.25">
      <c r="A473" s="29"/>
      <c r="B473" s="29"/>
      <c r="C473" s="94" t="s">
        <v>3206</v>
      </c>
      <c r="D473" s="111" t="s">
        <v>3207</v>
      </c>
      <c r="E473" s="29"/>
      <c r="F473" s="111" t="s">
        <v>112</v>
      </c>
      <c r="G473" s="111" t="s">
        <v>80</v>
      </c>
      <c r="H473" s="111">
        <v>77056</v>
      </c>
      <c r="I473" s="93" t="s">
        <v>62</v>
      </c>
      <c r="J473" s="29"/>
      <c r="K473" s="110">
        <v>0</v>
      </c>
      <c r="L473" s="110">
        <v>145</v>
      </c>
      <c r="M473" s="110">
        <v>8148</v>
      </c>
      <c r="N473" s="110">
        <v>37211</v>
      </c>
      <c r="O473" s="29" t="s">
        <v>4386</v>
      </c>
      <c r="P473" s="126">
        <v>471</v>
      </c>
      <c r="Q473" t="str">
        <f t="shared" si="7"/>
        <v>TANDEMENERGYCORPORATION5065WESTHEIMERRDHOUSTON</v>
      </c>
    </row>
    <row r="474" spans="1:17" x14ac:dyDescent="0.25">
      <c r="A474" s="29"/>
      <c r="B474" s="29"/>
      <c r="C474" s="112" t="s">
        <v>4526</v>
      </c>
      <c r="D474" s="100" t="s">
        <v>3213</v>
      </c>
      <c r="E474" s="29"/>
      <c r="F474" s="93" t="s">
        <v>3214</v>
      </c>
      <c r="G474" s="93" t="s">
        <v>61</v>
      </c>
      <c r="H474" s="93">
        <v>80401</v>
      </c>
      <c r="I474" s="93" t="s">
        <v>62</v>
      </c>
      <c r="J474" s="29"/>
      <c r="K474" s="110">
        <v>70</v>
      </c>
      <c r="L474" s="110">
        <v>8</v>
      </c>
      <c r="M474" s="110">
        <v>9817572</v>
      </c>
      <c r="N474" s="110">
        <v>3085229</v>
      </c>
      <c r="O474" s="29" t="s">
        <v>4386</v>
      </c>
      <c r="P474" s="126">
        <v>472</v>
      </c>
      <c r="Q474" t="str">
        <f t="shared" si="7"/>
        <v>TAPROCKOPERATINGLLC523PARKPOINTDRIVEGOLDEN</v>
      </c>
    </row>
    <row r="475" spans="1:17" x14ac:dyDescent="0.25">
      <c r="A475" s="29"/>
      <c r="B475" s="29"/>
      <c r="C475" s="94" t="s">
        <v>3221</v>
      </c>
      <c r="D475" s="111" t="s">
        <v>3222</v>
      </c>
      <c r="E475" s="29"/>
      <c r="F475" s="111" t="s">
        <v>1100</v>
      </c>
      <c r="G475" s="111" t="s">
        <v>80</v>
      </c>
      <c r="H475" s="111">
        <v>79423</v>
      </c>
      <c r="I475" s="93" t="s">
        <v>62</v>
      </c>
      <c r="J475" s="29"/>
      <c r="K475" s="110">
        <v>0</v>
      </c>
      <c r="L475" s="110">
        <v>13</v>
      </c>
      <c r="M475" s="110">
        <v>0</v>
      </c>
      <c r="N475" s="110">
        <v>7447</v>
      </c>
      <c r="O475" s="29" t="s">
        <v>4386</v>
      </c>
      <c r="P475" s="126">
        <v>473</v>
      </c>
      <c r="Q475" t="str">
        <f t="shared" si="7"/>
        <v>TARCOENERGYLC12403CR2300LUBBOCK</v>
      </c>
    </row>
    <row r="476" spans="1:17" x14ac:dyDescent="0.25">
      <c r="A476" s="29"/>
      <c r="B476" s="29" t="s">
        <v>4472</v>
      </c>
      <c r="C476" s="92" t="s">
        <v>3228</v>
      </c>
      <c r="D476" s="100" t="s">
        <v>2862</v>
      </c>
      <c r="E476" s="29"/>
      <c r="F476" s="93" t="s">
        <v>153</v>
      </c>
      <c r="G476" s="93" t="s">
        <v>80</v>
      </c>
      <c r="H476" s="93">
        <v>79705</v>
      </c>
      <c r="I476" s="93" t="s">
        <v>62</v>
      </c>
      <c r="J476" s="29"/>
      <c r="K476" s="110">
        <v>0</v>
      </c>
      <c r="L476" s="110">
        <v>0</v>
      </c>
      <c r="M476" s="110">
        <v>0</v>
      </c>
      <c r="N476" s="110">
        <v>0</v>
      </c>
      <c r="O476" s="29" t="s">
        <v>4385</v>
      </c>
      <c r="P476" s="126">
        <v>474</v>
      </c>
      <c r="Q476" t="str">
        <f t="shared" si="7"/>
        <v>TARGAMIDSTREAMSERVICESLLC6DESTADRIVEMIDLAND</v>
      </c>
    </row>
    <row r="477" spans="1:17" x14ac:dyDescent="0.25">
      <c r="A477" s="29"/>
      <c r="B477" s="29"/>
      <c r="C477" s="94" t="s">
        <v>3229</v>
      </c>
      <c r="D477" s="111" t="s">
        <v>3230</v>
      </c>
      <c r="E477" s="29"/>
      <c r="F477" s="111" t="s">
        <v>153</v>
      </c>
      <c r="G477" s="111" t="s">
        <v>80</v>
      </c>
      <c r="H477" s="111">
        <v>79701</v>
      </c>
      <c r="I477" s="93" t="s">
        <v>62</v>
      </c>
      <c r="J477" s="29"/>
      <c r="K477" s="110">
        <v>4</v>
      </c>
      <c r="L477" s="110">
        <v>21</v>
      </c>
      <c r="M477" s="110">
        <v>125504</v>
      </c>
      <c r="N477" s="110">
        <v>19258</v>
      </c>
      <c r="O477" s="29" t="s">
        <v>4386</v>
      </c>
      <c r="P477" s="126">
        <v>475</v>
      </c>
      <c r="Q477" t="str">
        <f t="shared" si="7"/>
        <v>TASCOSAENERGYPARTNERSLLC901WMISSOURIAVEMIDLAND</v>
      </c>
    </row>
    <row r="478" spans="1:17" x14ac:dyDescent="0.25">
      <c r="A478" s="29"/>
      <c r="B478" s="29" t="s">
        <v>4472</v>
      </c>
      <c r="C478" s="92" t="s">
        <v>3238</v>
      </c>
      <c r="D478" s="100" t="s">
        <v>3239</v>
      </c>
      <c r="E478" s="29"/>
      <c r="F478" s="93" t="s">
        <v>3240</v>
      </c>
      <c r="G478" s="93" t="s">
        <v>80</v>
      </c>
      <c r="H478" s="93">
        <v>75187</v>
      </c>
      <c r="I478" s="93" t="s">
        <v>62</v>
      </c>
      <c r="J478" s="29"/>
      <c r="K478" s="110">
        <v>0</v>
      </c>
      <c r="L478" s="110">
        <v>0</v>
      </c>
      <c r="M478" s="110">
        <v>0</v>
      </c>
      <c r="N478" s="110">
        <v>0</v>
      </c>
      <c r="O478" s="29" t="s">
        <v>4385</v>
      </c>
      <c r="P478" s="126">
        <v>476</v>
      </c>
      <c r="Q478" t="str">
        <f t="shared" si="7"/>
        <v>TAYLORTRANSFERSERVICESLLCPOBOX871149MESQUITE</v>
      </c>
    </row>
    <row r="479" spans="1:17" x14ac:dyDescent="0.25">
      <c r="A479" s="29"/>
      <c r="B479" s="29" t="s">
        <v>4472</v>
      </c>
      <c r="C479" s="92" t="s">
        <v>3241</v>
      </c>
      <c r="D479" s="100" t="s">
        <v>628</v>
      </c>
      <c r="E479" s="29"/>
      <c r="F479" s="93" t="s">
        <v>153</v>
      </c>
      <c r="G479" s="93" t="s">
        <v>80</v>
      </c>
      <c r="H479" s="93">
        <v>79705</v>
      </c>
      <c r="I479" s="93" t="s">
        <v>62</v>
      </c>
      <c r="J479" s="29"/>
      <c r="K479" s="110">
        <v>0</v>
      </c>
      <c r="L479" s="110">
        <v>0</v>
      </c>
      <c r="M479" s="110">
        <v>0</v>
      </c>
      <c r="N479" s="110">
        <v>0</v>
      </c>
      <c r="O479" s="29" t="s">
        <v>4385</v>
      </c>
      <c r="P479" s="126">
        <v>477</v>
      </c>
      <c r="Q479" t="str">
        <f t="shared" si="7"/>
        <v>TEXACOEXPLORATION&amp;PRODUCTIONINC15SMITHROADMIDLAND</v>
      </c>
    </row>
    <row r="480" spans="1:17" x14ac:dyDescent="0.25">
      <c r="A480" s="29"/>
      <c r="B480" s="29"/>
      <c r="C480" s="94" t="s">
        <v>3248</v>
      </c>
      <c r="D480" s="111" t="s">
        <v>1885</v>
      </c>
      <c r="E480" s="29"/>
      <c r="F480" s="111" t="s">
        <v>88</v>
      </c>
      <c r="G480" s="111" t="s">
        <v>80</v>
      </c>
      <c r="H480" s="111">
        <v>76102</v>
      </c>
      <c r="I480" s="93" t="s">
        <v>62</v>
      </c>
      <c r="J480" s="29"/>
      <c r="K480" s="110">
        <v>13</v>
      </c>
      <c r="L480" s="110">
        <v>27</v>
      </c>
      <c r="M480" s="110">
        <v>393146</v>
      </c>
      <c r="N480" s="110">
        <v>128176</v>
      </c>
      <c r="O480" s="29" t="s">
        <v>4386</v>
      </c>
      <c r="P480" s="126">
        <v>478</v>
      </c>
      <c r="Q480" t="str">
        <f t="shared" si="7"/>
        <v>TEXLANDPETROLEUMHOBBSLLC777MAINSTREETFORTWORTH</v>
      </c>
    </row>
    <row r="481" spans="1:17" x14ac:dyDescent="0.25">
      <c r="A481" s="29"/>
      <c r="B481" s="29"/>
      <c r="C481" s="94" t="s">
        <v>3254</v>
      </c>
      <c r="D481" s="111" t="s">
        <v>3255</v>
      </c>
      <c r="E481" s="29"/>
      <c r="F481" s="111" t="s">
        <v>153</v>
      </c>
      <c r="G481" s="111" t="s">
        <v>80</v>
      </c>
      <c r="H481" s="111">
        <v>79710</v>
      </c>
      <c r="I481" s="93" t="s">
        <v>62</v>
      </c>
      <c r="J481" s="29"/>
      <c r="K481" s="110">
        <v>0</v>
      </c>
      <c r="L481" s="110">
        <v>1</v>
      </c>
      <c r="M481" s="110">
        <v>598</v>
      </c>
      <c r="N481" s="110">
        <v>1123</v>
      </c>
      <c r="O481" s="29" t="s">
        <v>4386</v>
      </c>
      <c r="P481" s="126">
        <v>479</v>
      </c>
      <c r="Q481" t="str">
        <f t="shared" si="7"/>
        <v>TEXONOILCOMPANYINCPOBOX51588MIDLAND</v>
      </c>
    </row>
    <row r="482" spans="1:17" x14ac:dyDescent="0.25">
      <c r="A482" s="29"/>
      <c r="B482" s="29"/>
      <c r="C482" s="94" t="s">
        <v>3262</v>
      </c>
      <c r="D482" s="111" t="s">
        <v>3263</v>
      </c>
      <c r="E482" s="29"/>
      <c r="F482" s="111" t="s">
        <v>513</v>
      </c>
      <c r="G482" s="111" t="s">
        <v>84</v>
      </c>
      <c r="H482" s="111">
        <v>88231</v>
      </c>
      <c r="I482" s="93" t="s">
        <v>62</v>
      </c>
      <c r="J482" s="29"/>
      <c r="K482" s="110">
        <v>0</v>
      </c>
      <c r="L482" s="110">
        <v>4</v>
      </c>
      <c r="M482" s="110">
        <v>0</v>
      </c>
      <c r="N482" s="110">
        <v>405</v>
      </c>
      <c r="O482" s="29" t="s">
        <v>4386</v>
      </c>
      <c r="P482" s="126">
        <v>480</v>
      </c>
      <c r="Q482" t="str">
        <f t="shared" si="7"/>
        <v>THECOLBORNCOMPANYINCPOBOX1804EUNICE</v>
      </c>
    </row>
    <row r="483" spans="1:17" x14ac:dyDescent="0.25">
      <c r="A483" s="29"/>
      <c r="B483" s="29"/>
      <c r="C483" s="94" t="s">
        <v>3269</v>
      </c>
      <c r="D483" s="111" t="s">
        <v>3270</v>
      </c>
      <c r="E483" s="29"/>
      <c r="F483" s="111" t="s">
        <v>3271</v>
      </c>
      <c r="G483" s="111" t="s">
        <v>84</v>
      </c>
      <c r="H483" s="111">
        <v>88125</v>
      </c>
      <c r="I483" s="93" t="s">
        <v>62</v>
      </c>
      <c r="J483" s="29"/>
      <c r="K483" s="110">
        <v>0</v>
      </c>
      <c r="L483" s="110">
        <v>4</v>
      </c>
      <c r="M483" s="110">
        <v>0</v>
      </c>
      <c r="N483" s="110">
        <v>5974</v>
      </c>
      <c r="O483" s="29" t="s">
        <v>4386</v>
      </c>
      <c r="P483" s="126">
        <v>481</v>
      </c>
      <c r="Q483" t="str">
        <f t="shared" si="7"/>
        <v>THOMASANDRUBYPARKINSONTRUST4634NEWMEXICORD206MILNESAND</v>
      </c>
    </row>
    <row r="484" spans="1:17" x14ac:dyDescent="0.25">
      <c r="A484" s="29"/>
      <c r="B484" s="29"/>
      <c r="C484" s="94" t="s">
        <v>3272</v>
      </c>
      <c r="D484" s="111" t="s">
        <v>3273</v>
      </c>
      <c r="E484" s="29"/>
      <c r="F484" s="111" t="s">
        <v>3274</v>
      </c>
      <c r="G484" s="111" t="s">
        <v>61</v>
      </c>
      <c r="H484" s="111">
        <v>80033</v>
      </c>
      <c r="I484" s="93" t="s">
        <v>62</v>
      </c>
      <c r="J484" s="29"/>
      <c r="K484" s="110">
        <v>2</v>
      </c>
      <c r="L484" s="110">
        <v>17</v>
      </c>
      <c r="M484" s="110">
        <v>52936</v>
      </c>
      <c r="N484" s="110">
        <v>30371</v>
      </c>
      <c r="O484" s="29" t="s">
        <v>4386</v>
      </c>
      <c r="P484" s="126">
        <v>482</v>
      </c>
      <c r="Q484" t="str">
        <f t="shared" si="7"/>
        <v>THREEFORKSRESOURCESLLC4080YOUNGFIELDSTREETWHEATRIDGE</v>
      </c>
    </row>
    <row r="485" spans="1:17" x14ac:dyDescent="0.25">
      <c r="A485" s="29"/>
      <c r="B485" s="29" t="s">
        <v>4472</v>
      </c>
      <c r="C485" s="92" t="s">
        <v>3280</v>
      </c>
      <c r="D485" s="100" t="s">
        <v>3281</v>
      </c>
      <c r="E485" s="29"/>
      <c r="F485" s="93" t="s">
        <v>126</v>
      </c>
      <c r="G485" s="93" t="s">
        <v>80</v>
      </c>
      <c r="H485" s="93">
        <v>78735</v>
      </c>
      <c r="I485" s="93" t="s">
        <v>62</v>
      </c>
      <c r="J485" s="29"/>
      <c r="K485" s="110">
        <v>0</v>
      </c>
      <c r="L485" s="110">
        <v>0</v>
      </c>
      <c r="M485" s="110">
        <v>0</v>
      </c>
      <c r="N485" s="110">
        <v>0</v>
      </c>
      <c r="O485" s="29" t="s">
        <v>4385</v>
      </c>
      <c r="P485" s="126">
        <v>483</v>
      </c>
      <c r="Q485" t="str">
        <f t="shared" si="7"/>
        <v>THREERIVERSOPERATINGCOMPANYLLC5301SOUTHWESTPARKWAYAUSTIN</v>
      </c>
    </row>
    <row r="486" spans="1:17" x14ac:dyDescent="0.25">
      <c r="A486" s="29"/>
      <c r="B486" s="29"/>
      <c r="C486" s="94" t="s">
        <v>3286</v>
      </c>
      <c r="D486" s="111" t="s">
        <v>3287</v>
      </c>
      <c r="E486" s="29"/>
      <c r="F486" s="111" t="s">
        <v>1265</v>
      </c>
      <c r="G486" s="111" t="s">
        <v>84</v>
      </c>
      <c r="H486" s="111">
        <v>88260</v>
      </c>
      <c r="I486" s="93" t="s">
        <v>62</v>
      </c>
      <c r="J486" s="29"/>
      <c r="K486" s="110">
        <v>0</v>
      </c>
      <c r="L486" s="110">
        <v>1</v>
      </c>
      <c r="M486" s="110">
        <v>0</v>
      </c>
      <c r="N486" s="110">
        <v>1042</v>
      </c>
      <c r="O486" s="29" t="s">
        <v>4386</v>
      </c>
      <c r="P486" s="126">
        <v>484</v>
      </c>
      <c r="Q486" t="str">
        <f t="shared" si="7"/>
        <v>TIMBERLINEOIL&amp;GASLLC3621SIXSHOOTERRDLOVINGTON</v>
      </c>
    </row>
    <row r="487" spans="1:17" x14ac:dyDescent="0.25">
      <c r="A487" s="29"/>
      <c r="B487" s="29"/>
      <c r="C487" s="94" t="s">
        <v>3288</v>
      </c>
      <c r="D487" s="111" t="s">
        <v>3289</v>
      </c>
      <c r="E487" s="29"/>
      <c r="F487" s="111" t="s">
        <v>88</v>
      </c>
      <c r="G487" s="111" t="s">
        <v>80</v>
      </c>
      <c r="H487" s="111">
        <v>76012</v>
      </c>
      <c r="I487" s="93" t="s">
        <v>62</v>
      </c>
      <c r="J487" s="29"/>
      <c r="K487" s="110">
        <v>1</v>
      </c>
      <c r="L487" s="110">
        <v>2</v>
      </c>
      <c r="M487" s="110">
        <v>41972</v>
      </c>
      <c r="N487" s="110">
        <v>8102</v>
      </c>
      <c r="O487" s="29" t="s">
        <v>4386</v>
      </c>
      <c r="P487" s="126">
        <v>485</v>
      </c>
      <c r="Q487" t="str">
        <f t="shared" si="7"/>
        <v>TITUSOIL&amp;GASPRODUCTIONLLC420THROCKMORTONSTFORTWORTH</v>
      </c>
    </row>
    <row r="488" spans="1:17" x14ac:dyDescent="0.25">
      <c r="A488" s="29"/>
      <c r="B488" s="29"/>
      <c r="C488" s="94" t="s">
        <v>3295</v>
      </c>
      <c r="D488" s="105" t="s">
        <v>3296</v>
      </c>
      <c r="E488" s="29"/>
      <c r="F488" s="111" t="s">
        <v>1364</v>
      </c>
      <c r="G488" s="111" t="s">
        <v>84</v>
      </c>
      <c r="H488" s="93">
        <v>88252</v>
      </c>
      <c r="I488" s="93" t="s">
        <v>62</v>
      </c>
      <c r="J488" s="29"/>
      <c r="K488" s="110">
        <v>1</v>
      </c>
      <c r="L488" s="110">
        <v>8</v>
      </c>
      <c r="M488" s="110">
        <v>12486</v>
      </c>
      <c r="N488" s="110">
        <v>9098</v>
      </c>
      <c r="O488" s="29" t="s">
        <v>4386</v>
      </c>
      <c r="P488" s="126">
        <v>486</v>
      </c>
      <c r="Q488" t="str">
        <f t="shared" si="7"/>
        <v>TORAOIL&amp;GASLLCPOBOX1267JAL</v>
      </c>
    </row>
    <row r="489" spans="1:17" x14ac:dyDescent="0.25">
      <c r="A489" s="29"/>
      <c r="B489" s="29" t="s">
        <v>4472</v>
      </c>
      <c r="C489" s="92" t="s">
        <v>3297</v>
      </c>
      <c r="D489" s="100" t="s">
        <v>2307</v>
      </c>
      <c r="E489" s="29"/>
      <c r="F489" s="93" t="s">
        <v>2308</v>
      </c>
      <c r="G489" s="93" t="s">
        <v>61</v>
      </c>
      <c r="H489" s="93">
        <v>80228</v>
      </c>
      <c r="I489" s="93" t="s">
        <v>62</v>
      </c>
      <c r="J489" s="29"/>
      <c r="K489" s="110">
        <v>0</v>
      </c>
      <c r="L489" s="110">
        <v>0</v>
      </c>
      <c r="M489" s="110">
        <v>0</v>
      </c>
      <c r="N489" s="110">
        <v>0</v>
      </c>
      <c r="O489" s="29" t="s">
        <v>4385</v>
      </c>
      <c r="P489" s="126">
        <v>487</v>
      </c>
      <c r="Q489" t="str">
        <f t="shared" si="7"/>
        <v>TRANSCOLORADOGASCO370VANGORDONSTREETLAKEWOOD</v>
      </c>
    </row>
    <row r="490" spans="1:17" x14ac:dyDescent="0.25">
      <c r="A490" s="29"/>
      <c r="B490" s="29" t="s">
        <v>4472</v>
      </c>
      <c r="C490" s="92" t="s">
        <v>3303</v>
      </c>
      <c r="D490" s="100" t="s">
        <v>3304</v>
      </c>
      <c r="E490" s="29"/>
      <c r="F490" s="93" t="s">
        <v>209</v>
      </c>
      <c r="G490" s="93" t="s">
        <v>84</v>
      </c>
      <c r="H490" s="93">
        <v>88201</v>
      </c>
      <c r="I490" s="93" t="s">
        <v>62</v>
      </c>
      <c r="J490" s="29"/>
      <c r="K490" s="110">
        <v>0</v>
      </c>
      <c r="L490" s="110">
        <v>0</v>
      </c>
      <c r="M490" s="110">
        <v>0</v>
      </c>
      <c r="N490" s="110">
        <v>0</v>
      </c>
      <c r="O490" s="29" t="s">
        <v>4385</v>
      </c>
      <c r="P490" s="126">
        <v>488</v>
      </c>
      <c r="Q490" t="str">
        <f t="shared" si="7"/>
        <v>TRANSWESTERNPIPELINECOMPANYLLC6381NORTHMAINSTREETROSWELL</v>
      </c>
    </row>
    <row r="491" spans="1:17" x14ac:dyDescent="0.25">
      <c r="A491" s="29"/>
      <c r="B491" s="29"/>
      <c r="C491" s="94" t="s">
        <v>3310</v>
      </c>
      <c r="D491" s="111" t="s">
        <v>3311</v>
      </c>
      <c r="E491" s="29"/>
      <c r="F491" s="111" t="s">
        <v>183</v>
      </c>
      <c r="G491" s="111" t="s">
        <v>184</v>
      </c>
      <c r="H491" s="111">
        <v>741520098</v>
      </c>
      <c r="I491" s="93" t="s">
        <v>62</v>
      </c>
      <c r="J491" s="29"/>
      <c r="K491" s="110">
        <v>0</v>
      </c>
      <c r="L491" s="110">
        <v>4</v>
      </c>
      <c r="M491" s="110">
        <v>64447</v>
      </c>
      <c r="N491" s="110">
        <v>7063</v>
      </c>
      <c r="O491" s="29" t="s">
        <v>4386</v>
      </c>
      <c r="P491" s="126">
        <v>489</v>
      </c>
      <c r="Q491" t="str">
        <f t="shared" si="7"/>
        <v>TREKOPERATINGLLCPOBOX52098TULSA</v>
      </c>
    </row>
    <row r="492" spans="1:17" x14ac:dyDescent="0.25">
      <c r="A492" s="29"/>
      <c r="B492" s="29"/>
      <c r="C492" s="94" t="s">
        <v>3318</v>
      </c>
      <c r="D492" s="111" t="s">
        <v>3319</v>
      </c>
      <c r="E492" s="29"/>
      <c r="F492" s="111" t="s">
        <v>153</v>
      </c>
      <c r="G492" s="111" t="s">
        <v>80</v>
      </c>
      <c r="H492" s="111">
        <v>79708</v>
      </c>
      <c r="I492" s="93" t="s">
        <v>62</v>
      </c>
      <c r="J492" s="29"/>
      <c r="K492" s="110">
        <v>0</v>
      </c>
      <c r="L492" s="110">
        <v>5</v>
      </c>
      <c r="M492" s="110">
        <v>11313</v>
      </c>
      <c r="N492" s="110">
        <v>5805</v>
      </c>
      <c r="O492" s="29" t="s">
        <v>4386</v>
      </c>
      <c r="P492" s="126">
        <v>490</v>
      </c>
      <c r="Q492" t="str">
        <f t="shared" si="7"/>
        <v>TRILOGYOPERATINGINCPOBOX7606MIDLAND</v>
      </c>
    </row>
    <row r="493" spans="1:17" x14ac:dyDescent="0.25">
      <c r="A493" s="29"/>
      <c r="B493" s="29" t="s">
        <v>4472</v>
      </c>
      <c r="C493" s="92" t="s">
        <v>3325</v>
      </c>
      <c r="D493" s="100" t="s">
        <v>2391</v>
      </c>
      <c r="E493" s="29"/>
      <c r="F493" s="93" t="s">
        <v>112</v>
      </c>
      <c r="G493" s="93" t="s">
        <v>80</v>
      </c>
      <c r="H493" s="93">
        <v>77046</v>
      </c>
      <c r="I493" s="93" t="s">
        <v>62</v>
      </c>
      <c r="J493" s="29"/>
      <c r="K493" s="110">
        <v>0</v>
      </c>
      <c r="L493" s="110">
        <v>0</v>
      </c>
      <c r="M493" s="110">
        <v>0</v>
      </c>
      <c r="N493" s="110">
        <v>0</v>
      </c>
      <c r="O493" s="29" t="s">
        <v>4385</v>
      </c>
      <c r="P493" s="126">
        <v>491</v>
      </c>
      <c r="Q493" t="str">
        <f t="shared" ref="Q493:Q537" si="8">TRIM(UPPER(SUBSTITUTE(SUBSTITUTE(SUBSTITUTE(SUBSTITUTE(C493&amp;D493&amp;F493," ",""),".",""),",",""),"-","")))</f>
        <v>TROJANPIPELINELP5GREENWAYPLAZAHOUSTON</v>
      </c>
    </row>
    <row r="494" spans="1:17" x14ac:dyDescent="0.25">
      <c r="A494" s="29"/>
      <c r="B494" s="29"/>
      <c r="C494" s="94" t="s">
        <v>3326</v>
      </c>
      <c r="D494" s="111" t="s">
        <v>3327</v>
      </c>
      <c r="E494" s="29"/>
      <c r="F494" s="111" t="s">
        <v>378</v>
      </c>
      <c r="G494" s="111" t="s">
        <v>80</v>
      </c>
      <c r="H494" s="111">
        <v>75206</v>
      </c>
      <c r="I494" s="93" t="s">
        <v>62</v>
      </c>
      <c r="J494" s="29"/>
      <c r="K494" s="110">
        <v>0</v>
      </c>
      <c r="L494" s="110">
        <v>4</v>
      </c>
      <c r="M494" s="110">
        <v>29013</v>
      </c>
      <c r="N494" s="110">
        <v>0</v>
      </c>
      <c r="O494" s="29" t="s">
        <v>4386</v>
      </c>
      <c r="P494" s="126">
        <v>492</v>
      </c>
      <c r="Q494" t="str">
        <f t="shared" si="8"/>
        <v>TURNERPRODUCTIONCO1925GREENVILLEAVEDALLAS</v>
      </c>
    </row>
    <row r="495" spans="1:17" x14ac:dyDescent="0.25">
      <c r="A495" s="29"/>
      <c r="B495" s="29" t="s">
        <v>4472</v>
      </c>
      <c r="C495" s="92" t="s">
        <v>3330</v>
      </c>
      <c r="D495" s="100" t="s">
        <v>3331</v>
      </c>
      <c r="E495" s="29"/>
      <c r="F495" s="93" t="s">
        <v>1035</v>
      </c>
      <c r="G495" s="93" t="s">
        <v>84</v>
      </c>
      <c r="H495" s="93">
        <v>87413</v>
      </c>
      <c r="I495" s="93" t="s">
        <v>62</v>
      </c>
      <c r="J495" s="29"/>
      <c r="K495" s="110">
        <v>0</v>
      </c>
      <c r="L495" s="110">
        <v>0</v>
      </c>
      <c r="M495" s="110">
        <v>0</v>
      </c>
      <c r="N495" s="110">
        <v>0</v>
      </c>
      <c r="O495" s="29" t="s">
        <v>4385</v>
      </c>
      <c r="P495" s="126">
        <v>493</v>
      </c>
      <c r="Q495" t="str">
        <f t="shared" si="8"/>
        <v>TWINSTARSCOMPRESSIONLLCPOBOX1339BLOOMFIELD</v>
      </c>
    </row>
    <row r="496" spans="1:17" x14ac:dyDescent="0.25">
      <c r="A496" s="29"/>
      <c r="B496" s="29"/>
      <c r="C496" s="94" t="s">
        <v>3332</v>
      </c>
      <c r="D496" s="111" t="s">
        <v>3333</v>
      </c>
      <c r="E496" s="29"/>
      <c r="F496" s="111" t="s">
        <v>3334</v>
      </c>
      <c r="G496" s="111" t="s">
        <v>80</v>
      </c>
      <c r="H496" s="111">
        <v>76011</v>
      </c>
      <c r="I496" s="93" t="s">
        <v>62</v>
      </c>
      <c r="J496" s="29"/>
      <c r="K496" s="110">
        <v>2</v>
      </c>
      <c r="L496" s="110">
        <v>4</v>
      </c>
      <c r="M496" s="110">
        <v>49143</v>
      </c>
      <c r="N496" s="110">
        <v>9845</v>
      </c>
      <c r="O496" s="29" t="s">
        <v>4386</v>
      </c>
      <c r="P496" s="126">
        <v>494</v>
      </c>
      <c r="Q496" t="str">
        <f t="shared" si="8"/>
        <v>USENERGYDEVELOPMENTCORPORATION1521NCOOPERSTARLINGTON</v>
      </c>
    </row>
    <row r="497" spans="1:17" x14ac:dyDescent="0.25">
      <c r="A497" s="29"/>
      <c r="B497" s="29" t="s">
        <v>4472</v>
      </c>
      <c r="C497" s="92" t="s">
        <v>3342</v>
      </c>
      <c r="D497" s="100" t="s">
        <v>3343</v>
      </c>
      <c r="E497" s="29"/>
      <c r="F497" s="93" t="s">
        <v>123</v>
      </c>
      <c r="G497" s="93" t="s">
        <v>84</v>
      </c>
      <c r="H497" s="93">
        <v>87401</v>
      </c>
      <c r="I497" s="93" t="s">
        <v>62</v>
      </c>
      <c r="J497" s="29"/>
      <c r="K497" s="110">
        <v>0</v>
      </c>
      <c r="L497" s="110">
        <v>0</v>
      </c>
      <c r="M497" s="110">
        <v>0</v>
      </c>
      <c r="N497" s="110">
        <v>0</v>
      </c>
      <c r="O497" s="29" t="s">
        <v>4385</v>
      </c>
      <c r="P497" s="126">
        <v>495</v>
      </c>
      <c r="Q497" t="str">
        <f t="shared" si="8"/>
        <v>UNIONOILCO3300NBUTLERAVEFARMINGTON</v>
      </c>
    </row>
    <row r="498" spans="1:17" x14ac:dyDescent="0.25">
      <c r="A498" s="29"/>
      <c r="B498" s="29"/>
      <c r="C498" s="94" t="s">
        <v>3350</v>
      </c>
      <c r="D498" s="111" t="s">
        <v>3351</v>
      </c>
      <c r="E498" s="29"/>
      <c r="F498" s="111" t="s">
        <v>153</v>
      </c>
      <c r="G498" s="111" t="s">
        <v>80</v>
      </c>
      <c r="H498" s="111">
        <v>79701</v>
      </c>
      <c r="I498" s="93" t="s">
        <v>62</v>
      </c>
      <c r="J498" s="29"/>
      <c r="K498" s="110">
        <v>9</v>
      </c>
      <c r="L498" s="110">
        <v>14</v>
      </c>
      <c r="M498" s="110">
        <v>25513</v>
      </c>
      <c r="N498" s="110">
        <v>86976</v>
      </c>
      <c r="O498" s="29" t="s">
        <v>4386</v>
      </c>
      <c r="P498" s="126">
        <v>496</v>
      </c>
      <c r="Q498" t="str">
        <f t="shared" si="8"/>
        <v>UNITEXOIL&amp;GASLLC508WWALLSTREETMIDLAND</v>
      </c>
    </row>
    <row r="499" spans="1:17" x14ac:dyDescent="0.25">
      <c r="A499" s="29"/>
      <c r="B499" s="29" t="s">
        <v>4472</v>
      </c>
      <c r="C499" s="92" t="s">
        <v>3355</v>
      </c>
      <c r="D499" s="105" t="s">
        <v>3356</v>
      </c>
      <c r="E499" s="29"/>
      <c r="F499" s="93" t="s">
        <v>161</v>
      </c>
      <c r="G499" s="93" t="s">
        <v>80</v>
      </c>
      <c r="H499" s="93">
        <v>77380</v>
      </c>
      <c r="I499" s="93" t="s">
        <v>62</v>
      </c>
      <c r="J499" s="29"/>
      <c r="K499" s="110">
        <v>0</v>
      </c>
      <c r="L499" s="110">
        <v>0</v>
      </c>
      <c r="M499" s="110">
        <v>0</v>
      </c>
      <c r="N499" s="110">
        <v>0</v>
      </c>
      <c r="O499" s="29" t="s">
        <v>4385</v>
      </c>
      <c r="P499" s="126">
        <v>497</v>
      </c>
      <c r="Q499" t="str">
        <f t="shared" si="8"/>
        <v>UNIVARSOLUTIONSUSAINC3WATERWAYSQUAREPLACETHEWOODLANDS</v>
      </c>
    </row>
    <row r="500" spans="1:17" x14ac:dyDescent="0.25">
      <c r="A500" s="29"/>
      <c r="B500" s="29"/>
      <c r="C500" s="94" t="s">
        <v>3370</v>
      </c>
      <c r="D500" s="111" t="s">
        <v>3371</v>
      </c>
      <c r="E500" s="29"/>
      <c r="F500" s="111" t="s">
        <v>1203</v>
      </c>
      <c r="G500" s="111" t="s">
        <v>184</v>
      </c>
      <c r="H500" s="111">
        <v>73034</v>
      </c>
      <c r="I500" s="93" t="s">
        <v>62</v>
      </c>
      <c r="J500" s="29"/>
      <c r="K500" s="110">
        <v>3</v>
      </c>
      <c r="L500" s="110">
        <v>19</v>
      </c>
      <c r="M500" s="110">
        <v>65487</v>
      </c>
      <c r="N500" s="110">
        <v>6240</v>
      </c>
      <c r="O500" s="29" t="s">
        <v>4386</v>
      </c>
      <c r="P500" s="126">
        <v>498</v>
      </c>
      <c r="Q500" t="str">
        <f t="shared" si="8"/>
        <v>UPLANDPRODUCTIONCOMPANYPOBOX1327EDMOND</v>
      </c>
    </row>
    <row r="501" spans="1:17" x14ac:dyDescent="0.25">
      <c r="A501" s="29"/>
      <c r="B501" s="29" t="s">
        <v>4472</v>
      </c>
      <c r="C501" s="92" t="s">
        <v>3372</v>
      </c>
      <c r="D501" s="100" t="s">
        <v>3373</v>
      </c>
      <c r="E501" s="29"/>
      <c r="F501" s="93" t="s">
        <v>123</v>
      </c>
      <c r="G501" s="93" t="s">
        <v>84</v>
      </c>
      <c r="H501" s="93">
        <v>87401</v>
      </c>
      <c r="I501" s="93" t="s">
        <v>62</v>
      </c>
      <c r="J501" s="29"/>
      <c r="K501" s="110">
        <v>0</v>
      </c>
      <c r="L501" s="110">
        <v>0</v>
      </c>
      <c r="M501" s="110">
        <v>0</v>
      </c>
      <c r="N501" s="110">
        <v>0</v>
      </c>
      <c r="O501" s="29" t="s">
        <v>4385</v>
      </c>
      <c r="P501" s="126">
        <v>499</v>
      </c>
      <c r="Q501" t="str">
        <f t="shared" si="8"/>
        <v>USACOMPRESSIONINCFARMINGTON3300NBUTLERFARMINGTON</v>
      </c>
    </row>
    <row r="502" spans="1:17" x14ac:dyDescent="0.25">
      <c r="A502" s="29"/>
      <c r="B502" s="29" t="s">
        <v>4472</v>
      </c>
      <c r="C502" s="92" t="s">
        <v>3381</v>
      </c>
      <c r="D502" s="100" t="s">
        <v>3382</v>
      </c>
      <c r="E502" s="93" t="s">
        <v>3383</v>
      </c>
      <c r="F502" s="93" t="s">
        <v>153</v>
      </c>
      <c r="G502" s="93" t="s">
        <v>80</v>
      </c>
      <c r="H502" s="93">
        <v>79707</v>
      </c>
      <c r="I502" s="93" t="s">
        <v>62</v>
      </c>
      <c r="J502" s="29"/>
      <c r="K502" s="110">
        <v>0</v>
      </c>
      <c r="L502" s="110">
        <v>0</v>
      </c>
      <c r="M502" s="110">
        <v>0</v>
      </c>
      <c r="N502" s="110">
        <v>0</v>
      </c>
      <c r="O502" s="29" t="s">
        <v>4385</v>
      </c>
      <c r="P502" s="126">
        <v>500</v>
      </c>
      <c r="Q502" t="str">
        <f t="shared" si="8"/>
        <v>USACOMPRESSIONINCMIDLAND4415NORTHCRESTMIDLAND</v>
      </c>
    </row>
    <row r="503" spans="1:17" x14ac:dyDescent="0.25">
      <c r="A503" s="29"/>
      <c r="B503" s="29" t="s">
        <v>4472</v>
      </c>
      <c r="C503" s="92" t="s">
        <v>3384</v>
      </c>
      <c r="D503" s="100" t="s">
        <v>3385</v>
      </c>
      <c r="E503" s="29"/>
      <c r="F503" s="93" t="s">
        <v>112</v>
      </c>
      <c r="G503" s="93" t="s">
        <v>80</v>
      </c>
      <c r="H503" s="93">
        <v>77002</v>
      </c>
      <c r="I503" s="93" t="s">
        <v>62</v>
      </c>
      <c r="J503" s="29"/>
      <c r="K503" s="110">
        <v>0</v>
      </c>
      <c r="L503" s="110">
        <v>0</v>
      </c>
      <c r="M503" s="110">
        <v>0</v>
      </c>
      <c r="N503" s="110">
        <v>0</v>
      </c>
      <c r="O503" s="29" t="s">
        <v>4385</v>
      </c>
      <c r="P503" s="126">
        <v>501</v>
      </c>
      <c r="Q503" t="str">
        <f t="shared" si="8"/>
        <v>VALERUSCOMPRESSIONSERVICESLP919MILANHOUSTON</v>
      </c>
    </row>
    <row r="504" spans="1:17" x14ac:dyDescent="0.25">
      <c r="A504" s="29"/>
      <c r="B504" s="29"/>
      <c r="C504" s="94" t="s">
        <v>3399</v>
      </c>
      <c r="D504" s="111" t="s">
        <v>3400</v>
      </c>
      <c r="E504" s="29"/>
      <c r="F504" s="111" t="s">
        <v>1257</v>
      </c>
      <c r="G504" s="111" t="s">
        <v>80</v>
      </c>
      <c r="H504" s="111">
        <v>75711</v>
      </c>
      <c r="I504" s="93" t="s">
        <v>62</v>
      </c>
      <c r="J504" s="29"/>
      <c r="K504" s="110">
        <v>10</v>
      </c>
      <c r="L504" s="110">
        <v>3</v>
      </c>
      <c r="M504" s="110">
        <v>252412</v>
      </c>
      <c r="N504" s="110">
        <v>381</v>
      </c>
      <c r="O504" s="29" t="s">
        <v>4386</v>
      </c>
      <c r="P504" s="126">
        <v>502</v>
      </c>
      <c r="Q504" t="str">
        <f t="shared" si="8"/>
        <v>VERNONEFAULCONERINCPOBOX7995TYLER</v>
      </c>
    </row>
    <row r="505" spans="1:17" x14ac:dyDescent="0.25">
      <c r="A505" s="29"/>
      <c r="B505" s="29" t="s">
        <v>4472</v>
      </c>
      <c r="C505" s="92" t="s">
        <v>3406</v>
      </c>
      <c r="D505" s="100" t="s">
        <v>2862</v>
      </c>
      <c r="E505" s="29"/>
      <c r="F505" s="93" t="s">
        <v>153</v>
      </c>
      <c r="G505" s="93" t="s">
        <v>80</v>
      </c>
      <c r="H505" s="93">
        <v>79705</v>
      </c>
      <c r="I505" s="93" t="s">
        <v>62</v>
      </c>
      <c r="J505" s="29"/>
      <c r="K505" s="110">
        <v>0</v>
      </c>
      <c r="L505" s="110">
        <v>0</v>
      </c>
      <c r="M505" s="110">
        <v>0</v>
      </c>
      <c r="N505" s="110">
        <v>0</v>
      </c>
      <c r="O505" s="29" t="s">
        <v>4385</v>
      </c>
      <c r="P505" s="126">
        <v>503</v>
      </c>
      <c r="Q505" t="str">
        <f t="shared" si="8"/>
        <v>VERSADOGASPROCESSORSLLC6DESTADRIVEMIDLAND</v>
      </c>
    </row>
    <row r="506" spans="1:17" x14ac:dyDescent="0.25">
      <c r="A506" s="29"/>
      <c r="B506" s="29"/>
      <c r="C506" s="94" t="s">
        <v>3407</v>
      </c>
      <c r="D506" s="111" t="s">
        <v>3408</v>
      </c>
      <c r="E506" s="29"/>
      <c r="F506" s="111" t="s">
        <v>153</v>
      </c>
      <c r="G506" s="111" t="s">
        <v>80</v>
      </c>
      <c r="H506" s="111">
        <v>79702</v>
      </c>
      <c r="I506" s="93" t="s">
        <v>62</v>
      </c>
      <c r="J506" s="29"/>
      <c r="K506" s="110">
        <v>13</v>
      </c>
      <c r="L506" s="110">
        <v>59</v>
      </c>
      <c r="M506" s="110">
        <v>617967</v>
      </c>
      <c r="N506" s="110">
        <v>116694</v>
      </c>
      <c r="O506" s="29" t="s">
        <v>4386</v>
      </c>
      <c r="P506" s="126">
        <v>504</v>
      </c>
      <c r="Q506" t="str">
        <f t="shared" si="8"/>
        <v>VFPETROLEUMINCPOBOX1889MIDLAND</v>
      </c>
    </row>
    <row r="507" spans="1:17" x14ac:dyDescent="0.25">
      <c r="A507" s="29"/>
      <c r="B507" s="29"/>
      <c r="C507" s="94" t="s">
        <v>3414</v>
      </c>
      <c r="D507" s="111" t="s">
        <v>3415</v>
      </c>
      <c r="E507" s="29"/>
      <c r="F507" s="111" t="s">
        <v>83</v>
      </c>
      <c r="G507" s="111" t="s">
        <v>84</v>
      </c>
      <c r="H507" s="111">
        <v>88211024</v>
      </c>
      <c r="I507" s="93" t="s">
        <v>62</v>
      </c>
      <c r="J507" s="29"/>
      <c r="K507" s="110">
        <v>7</v>
      </c>
      <c r="L507" s="110">
        <v>35</v>
      </c>
      <c r="M507" s="110">
        <v>200893</v>
      </c>
      <c r="N507" s="110">
        <v>30535</v>
      </c>
      <c r="O507" s="29" t="s">
        <v>4386</v>
      </c>
      <c r="P507" s="126">
        <v>505</v>
      </c>
      <c r="Q507" t="str">
        <f t="shared" si="8"/>
        <v>VINTAGEDRILLINGLLCPOBOX248ARTESIA</v>
      </c>
    </row>
    <row r="508" spans="1:17" x14ac:dyDescent="0.25">
      <c r="A508" s="29"/>
      <c r="B508" s="29"/>
      <c r="C508" s="94" t="s">
        <v>3421</v>
      </c>
      <c r="D508" s="111" t="s">
        <v>3422</v>
      </c>
      <c r="E508" s="29"/>
      <c r="F508" s="111" t="s">
        <v>585</v>
      </c>
      <c r="G508" s="111" t="s">
        <v>184</v>
      </c>
      <c r="H508" s="111">
        <v>73112</v>
      </c>
      <c r="I508" s="93" t="s">
        <v>62</v>
      </c>
      <c r="J508" s="29"/>
      <c r="K508" s="110">
        <v>0</v>
      </c>
      <c r="L508" s="110">
        <v>20</v>
      </c>
      <c r="M508" s="110">
        <v>0</v>
      </c>
      <c r="N508" s="110">
        <v>32210</v>
      </c>
      <c r="O508" s="29" t="s">
        <v>4386</v>
      </c>
      <c r="P508" s="126">
        <v>506</v>
      </c>
      <c r="Q508" t="str">
        <f t="shared" si="8"/>
        <v>VISIONENERGYGROUPLLC5600NORTHMAYAVENUEOKLAHOMACITY</v>
      </c>
    </row>
    <row r="509" spans="1:17" x14ac:dyDescent="0.25">
      <c r="A509" s="29"/>
      <c r="B509" s="29"/>
      <c r="C509" s="94" t="s">
        <v>3433</v>
      </c>
      <c r="D509" s="111" t="s">
        <v>3434</v>
      </c>
      <c r="E509" s="29"/>
      <c r="F509" s="111" t="s">
        <v>2266</v>
      </c>
      <c r="G509" s="111" t="s">
        <v>84</v>
      </c>
      <c r="H509" s="111">
        <v>88221</v>
      </c>
      <c r="I509" s="93" t="s">
        <v>62</v>
      </c>
      <c r="J509" s="29"/>
      <c r="K509" s="110">
        <v>0</v>
      </c>
      <c r="L509" s="110">
        <v>1</v>
      </c>
      <c r="M509" s="110">
        <v>7109</v>
      </c>
      <c r="N509" s="110">
        <v>738</v>
      </c>
      <c r="O509" s="29" t="s">
        <v>4386</v>
      </c>
      <c r="P509" s="126">
        <v>507</v>
      </c>
      <c r="Q509" t="str">
        <f t="shared" si="8"/>
        <v>VISIONENERGYINCPOBOX2459CARLSBAD</v>
      </c>
    </row>
    <row r="510" spans="1:17" x14ac:dyDescent="0.25">
      <c r="A510" s="29"/>
      <c r="B510" s="29" t="s">
        <v>4472</v>
      </c>
      <c r="C510" s="92" t="s">
        <v>3440</v>
      </c>
      <c r="D510" s="100" t="s">
        <v>3441</v>
      </c>
      <c r="E510" s="29"/>
      <c r="F510" s="93" t="s">
        <v>112</v>
      </c>
      <c r="G510" s="93" t="s">
        <v>80</v>
      </c>
      <c r="H510" s="93">
        <v>77098</v>
      </c>
      <c r="I510" s="93" t="s">
        <v>62</v>
      </c>
      <c r="J510" s="29"/>
      <c r="K510" s="110">
        <v>0</v>
      </c>
      <c r="L510" s="110">
        <v>0</v>
      </c>
      <c r="M510" s="110">
        <v>0</v>
      </c>
      <c r="N510" s="110">
        <v>0</v>
      </c>
      <c r="O510" s="29" t="s">
        <v>4385</v>
      </c>
      <c r="P510" s="126">
        <v>508</v>
      </c>
      <c r="Q510" t="str">
        <f t="shared" si="8"/>
        <v>VITOLAMERICASCORP2925RICHMONDAVEHOUSTON</v>
      </c>
    </row>
    <row r="511" spans="1:17" x14ac:dyDescent="0.25">
      <c r="A511" s="29"/>
      <c r="B511" s="29"/>
      <c r="C511" s="94" t="s">
        <v>3454</v>
      </c>
      <c r="D511" s="111" t="s">
        <v>3455</v>
      </c>
      <c r="E511" s="29"/>
      <c r="F511" s="111" t="s">
        <v>88</v>
      </c>
      <c r="G511" s="111" t="s">
        <v>80</v>
      </c>
      <c r="H511" s="111">
        <v>76102</v>
      </c>
      <c r="I511" s="93" t="s">
        <v>62</v>
      </c>
      <c r="J511" s="29"/>
      <c r="K511" s="110">
        <v>1</v>
      </c>
      <c r="L511" s="110">
        <v>4</v>
      </c>
      <c r="M511" s="110">
        <v>8347</v>
      </c>
      <c r="N511" s="110">
        <v>2644</v>
      </c>
      <c r="O511" s="29" t="s">
        <v>4386</v>
      </c>
      <c r="P511" s="126">
        <v>509</v>
      </c>
      <c r="Q511" t="str">
        <f t="shared" si="8"/>
        <v>WAMONCRIEFJR950COMMERCEFORTWORTH</v>
      </c>
    </row>
    <row r="512" spans="1:17" x14ac:dyDescent="0.25">
      <c r="A512" s="29"/>
      <c r="B512" s="29"/>
      <c r="C512" s="94" t="s">
        <v>3462</v>
      </c>
      <c r="D512" s="111" t="s">
        <v>3463</v>
      </c>
      <c r="E512" s="29"/>
      <c r="F512" s="111" t="s">
        <v>418</v>
      </c>
      <c r="G512" s="111" t="s">
        <v>80</v>
      </c>
      <c r="H512" s="111">
        <v>76301</v>
      </c>
      <c r="I512" s="93" t="s">
        <v>62</v>
      </c>
      <c r="J512" s="29"/>
      <c r="K512" s="110">
        <v>1</v>
      </c>
      <c r="L512" s="110">
        <v>1</v>
      </c>
      <c r="M512" s="110">
        <v>3239</v>
      </c>
      <c r="N512" s="110">
        <v>230</v>
      </c>
      <c r="O512" s="29" t="s">
        <v>4386</v>
      </c>
      <c r="P512" s="126">
        <v>510</v>
      </c>
      <c r="Q512" t="str">
        <f t="shared" si="8"/>
        <v>WBHAMILTONESTATE9008THSTWICHITAFALLS</v>
      </c>
    </row>
    <row r="513" spans="1:17" x14ac:dyDescent="0.25">
      <c r="A513" s="29"/>
      <c r="B513" s="29" t="s">
        <v>4472</v>
      </c>
      <c r="C513" s="92" t="s">
        <v>3469</v>
      </c>
      <c r="D513" s="100" t="s">
        <v>4527</v>
      </c>
      <c r="E513" s="29"/>
      <c r="F513" s="93" t="s">
        <v>3471</v>
      </c>
      <c r="G513" s="93" t="s">
        <v>80</v>
      </c>
      <c r="H513" s="93">
        <v>78401</v>
      </c>
      <c r="I513" s="93" t="s">
        <v>62</v>
      </c>
      <c r="J513" s="29"/>
      <c r="K513" s="110">
        <v>0</v>
      </c>
      <c r="L513" s="110">
        <v>0</v>
      </c>
      <c r="M513" s="110">
        <v>0</v>
      </c>
      <c r="N513" s="110">
        <v>0</v>
      </c>
      <c r="O513" s="29" t="s">
        <v>4385</v>
      </c>
      <c r="P513" s="126">
        <v>511</v>
      </c>
      <c r="Q513" t="str">
        <f t="shared" si="8"/>
        <v>WADIPETROLEUMINCC/ODEWBREPETROLEUMCORPORATION
802NCARANCAHUACORPUSCHRISTI</v>
      </c>
    </row>
    <row r="514" spans="1:17" x14ac:dyDescent="0.25">
      <c r="A514" s="29"/>
      <c r="B514" s="29"/>
      <c r="C514" s="94" t="s">
        <v>3477</v>
      </c>
      <c r="D514" s="111" t="s">
        <v>3478</v>
      </c>
      <c r="E514" s="29"/>
      <c r="F514" s="111" t="s">
        <v>88</v>
      </c>
      <c r="G514" s="111" t="s">
        <v>80</v>
      </c>
      <c r="H514" s="111">
        <v>76102</v>
      </c>
      <c r="I514" s="93" t="s">
        <v>62</v>
      </c>
      <c r="J514" s="29"/>
      <c r="K514" s="110">
        <v>0</v>
      </c>
      <c r="L514" s="110">
        <v>7</v>
      </c>
      <c r="M514" s="110">
        <v>17231</v>
      </c>
      <c r="N514" s="110">
        <v>7119</v>
      </c>
      <c r="O514" s="29" t="s">
        <v>4528</v>
      </c>
      <c r="P514" s="126">
        <v>512</v>
      </c>
      <c r="Q514" t="str">
        <f t="shared" si="8"/>
        <v>WAGNEROILCO500COMMERCEFORTWORTH</v>
      </c>
    </row>
    <row r="515" spans="1:17" x14ac:dyDescent="0.25">
      <c r="A515" s="29"/>
      <c r="B515" s="29"/>
      <c r="C515" s="94" t="s">
        <v>3484</v>
      </c>
      <c r="D515" s="111" t="s">
        <v>3485</v>
      </c>
      <c r="E515" s="29"/>
      <c r="F515" s="111" t="s">
        <v>3486</v>
      </c>
      <c r="G515" s="111" t="s">
        <v>80</v>
      </c>
      <c r="H515" s="111">
        <v>76102</v>
      </c>
      <c r="I515" s="93" t="s">
        <v>62</v>
      </c>
      <c r="J515" s="29"/>
      <c r="K515" s="110">
        <v>0</v>
      </c>
      <c r="L515" s="110">
        <v>7</v>
      </c>
      <c r="M515" s="110">
        <v>0</v>
      </c>
      <c r="N515" s="110">
        <v>2058</v>
      </c>
      <c r="O515" s="29" t="s">
        <v>4528</v>
      </c>
      <c r="P515" s="126">
        <v>513</v>
      </c>
      <c r="Q515" t="str">
        <f t="shared" si="8"/>
        <v>WALSH&amp;WATTSINC500W7THSTFORTWORTH</v>
      </c>
    </row>
    <row r="516" spans="1:17" x14ac:dyDescent="0.25">
      <c r="A516" s="29"/>
      <c r="B516" s="29"/>
      <c r="C516" s="94" t="s">
        <v>3492</v>
      </c>
      <c r="D516" s="111" t="s">
        <v>3493</v>
      </c>
      <c r="E516" s="29"/>
      <c r="F516" s="111" t="s">
        <v>112</v>
      </c>
      <c r="G516" s="111" t="s">
        <v>80</v>
      </c>
      <c r="H516" s="111">
        <v>77043</v>
      </c>
      <c r="I516" s="93" t="s">
        <v>62</v>
      </c>
      <c r="J516" s="29"/>
      <c r="K516" s="110">
        <v>287</v>
      </c>
      <c r="L516" s="110">
        <v>544</v>
      </c>
      <c r="M516" s="110">
        <v>23270175</v>
      </c>
      <c r="N516" s="110">
        <v>0</v>
      </c>
      <c r="O516" s="29" t="s">
        <v>4528</v>
      </c>
      <c r="P516" s="126">
        <v>514</v>
      </c>
      <c r="Q516" t="str">
        <f t="shared" si="8"/>
        <v>WAPITIOPERATINGLLC1310WSAMHOUSTONPKWYNORTHHOUSTON</v>
      </c>
    </row>
    <row r="517" spans="1:17" x14ac:dyDescent="0.25">
      <c r="A517" s="29"/>
      <c r="B517" s="29"/>
      <c r="C517" s="94" t="s">
        <v>3501</v>
      </c>
      <c r="D517" s="111" t="s">
        <v>3502</v>
      </c>
      <c r="E517" s="29"/>
      <c r="F517" s="111" t="s">
        <v>183</v>
      </c>
      <c r="G517" s="111" t="s">
        <v>184</v>
      </c>
      <c r="H517" s="111">
        <v>74147</v>
      </c>
      <c r="I517" s="93" t="s">
        <v>62</v>
      </c>
      <c r="J517" s="29"/>
      <c r="K517" s="110">
        <v>2</v>
      </c>
      <c r="L517" s="110">
        <v>3</v>
      </c>
      <c r="M517" s="110">
        <v>21505</v>
      </c>
      <c r="N517" s="110">
        <v>17983</v>
      </c>
      <c r="O517" s="29" t="s">
        <v>4528</v>
      </c>
      <c r="P517" s="126">
        <v>515</v>
      </c>
      <c r="Q517" t="str">
        <f t="shared" si="8"/>
        <v>WARRENAMERICANOILCOPOBOX470372TULSA</v>
      </c>
    </row>
    <row r="518" spans="1:17" x14ac:dyDescent="0.25">
      <c r="A518" s="29"/>
      <c r="B518" s="29"/>
      <c r="C518" s="94" t="s">
        <v>3510</v>
      </c>
      <c r="D518" s="111" t="s">
        <v>3511</v>
      </c>
      <c r="E518" s="29"/>
      <c r="F518" s="111" t="s">
        <v>209</v>
      </c>
      <c r="G518" s="111" t="s">
        <v>84</v>
      </c>
      <c r="H518" s="111">
        <v>88202</v>
      </c>
      <c r="I518" s="93" t="s">
        <v>62</v>
      </c>
      <c r="J518" s="29"/>
      <c r="K518" s="110">
        <v>0</v>
      </c>
      <c r="L518" s="110">
        <v>1</v>
      </c>
      <c r="M518" s="110">
        <v>8026</v>
      </c>
      <c r="N518" s="110">
        <v>0</v>
      </c>
      <c r="O518" s="29" t="s">
        <v>4528</v>
      </c>
      <c r="P518" s="126">
        <v>516</v>
      </c>
      <c r="Q518" t="str">
        <f t="shared" si="8"/>
        <v>WESPACENERGYLLC400EASTCOLLEGEBLVDROSWELL</v>
      </c>
    </row>
    <row r="519" spans="1:17" x14ac:dyDescent="0.25">
      <c r="A519" s="29"/>
      <c r="B519" s="29"/>
      <c r="C519" s="94" t="s">
        <v>3516</v>
      </c>
      <c r="D519" s="111" t="s">
        <v>3517</v>
      </c>
      <c r="E519" s="29"/>
      <c r="F519" s="111" t="s">
        <v>183</v>
      </c>
      <c r="G519" s="111" t="s">
        <v>184</v>
      </c>
      <c r="H519" s="111">
        <v>74137</v>
      </c>
      <c r="I519" s="93" t="s">
        <v>62</v>
      </c>
      <c r="J519" s="29"/>
      <c r="K519" s="110">
        <v>23</v>
      </c>
      <c r="L519" s="110">
        <v>0</v>
      </c>
      <c r="M519" s="110">
        <v>1585070</v>
      </c>
      <c r="N519" s="110">
        <v>0</v>
      </c>
      <c r="O519" s="29" t="s">
        <v>4528</v>
      </c>
      <c r="P519" s="126">
        <v>517</v>
      </c>
      <c r="Q519" t="str">
        <f t="shared" si="8"/>
        <v>WESTLARGOCORP8801SYALETULSA</v>
      </c>
    </row>
    <row r="520" spans="1:17" x14ac:dyDescent="0.25">
      <c r="A520" s="29"/>
      <c r="B520" s="29"/>
      <c r="C520" s="94" t="s">
        <v>3523</v>
      </c>
      <c r="D520" s="111" t="s">
        <v>3524</v>
      </c>
      <c r="E520" s="29"/>
      <c r="F520" s="111" t="s">
        <v>3525</v>
      </c>
      <c r="G520" s="111" t="s">
        <v>265</v>
      </c>
      <c r="H520" s="111">
        <v>93021</v>
      </c>
      <c r="I520" s="93" t="s">
        <v>62</v>
      </c>
      <c r="J520" s="29"/>
      <c r="K520" s="110">
        <v>0</v>
      </c>
      <c r="L520" s="110">
        <v>2</v>
      </c>
      <c r="M520" s="110">
        <v>4309</v>
      </c>
      <c r="N520" s="110">
        <v>286</v>
      </c>
      <c r="O520" s="29" t="s">
        <v>4528</v>
      </c>
      <c r="P520" s="126">
        <v>518</v>
      </c>
      <c r="Q520" t="str">
        <f t="shared" si="8"/>
        <v>WESTERNGLOBALOILDBAWESTERNGLOBALOILINCPOBOX66MOORPARK</v>
      </c>
    </row>
    <row r="521" spans="1:17" x14ac:dyDescent="0.25">
      <c r="A521" s="29"/>
      <c r="B521" s="29"/>
      <c r="C521" s="94" t="s">
        <v>3526</v>
      </c>
      <c r="D521" s="111" t="s">
        <v>3527</v>
      </c>
      <c r="E521" s="29"/>
      <c r="F521" s="111" t="s">
        <v>123</v>
      </c>
      <c r="G521" s="111" t="s">
        <v>84</v>
      </c>
      <c r="H521" s="111">
        <v>874991228</v>
      </c>
      <c r="I521" s="93" t="s">
        <v>62</v>
      </c>
      <c r="J521" s="29"/>
      <c r="K521" s="110">
        <v>2</v>
      </c>
      <c r="L521" s="110">
        <v>12</v>
      </c>
      <c r="M521" s="110">
        <v>207117</v>
      </c>
      <c r="N521" s="110">
        <v>34</v>
      </c>
      <c r="O521" s="29" t="s">
        <v>4528</v>
      </c>
      <c r="P521" s="126">
        <v>519</v>
      </c>
      <c r="Q521" t="str">
        <f t="shared" si="8"/>
        <v>WESTERNOIL&amp;MINERALSLTDPODRAWER1228FARMINGTON</v>
      </c>
    </row>
    <row r="522" spans="1:17" x14ac:dyDescent="0.25">
      <c r="A522" s="29"/>
      <c r="B522" s="29" t="s">
        <v>4472</v>
      </c>
      <c r="C522" s="92" t="s">
        <v>3531</v>
      </c>
      <c r="D522" s="100" t="s">
        <v>3532</v>
      </c>
      <c r="E522" s="29"/>
      <c r="F522" s="93" t="s">
        <v>2266</v>
      </c>
      <c r="G522" s="93" t="s">
        <v>84</v>
      </c>
      <c r="H522" s="93">
        <v>88220</v>
      </c>
      <c r="I522" s="93" t="s">
        <v>62</v>
      </c>
      <c r="J522" s="29"/>
      <c r="K522" s="110">
        <v>0</v>
      </c>
      <c r="L522" s="110">
        <v>0</v>
      </c>
      <c r="M522" s="110">
        <v>0</v>
      </c>
      <c r="N522" s="110">
        <v>0</v>
      </c>
      <c r="O522" s="29" t="s">
        <v>4385</v>
      </c>
      <c r="P522" s="126">
        <v>520</v>
      </c>
      <c r="Q522" t="str">
        <f t="shared" si="8"/>
        <v>WESTERNREFININGCONANGATHERINGLLC1703COMMERCEDRIVECARLSBAD</v>
      </c>
    </row>
    <row r="523" spans="1:17" x14ac:dyDescent="0.25">
      <c r="A523" s="29"/>
      <c r="B523" s="29" t="s">
        <v>4472</v>
      </c>
      <c r="C523" s="92" t="s">
        <v>3533</v>
      </c>
      <c r="D523" s="100" t="s">
        <v>3534</v>
      </c>
      <c r="E523" s="29"/>
      <c r="F523" s="93" t="s">
        <v>3535</v>
      </c>
      <c r="G523" s="93" t="s">
        <v>2074</v>
      </c>
      <c r="H523" s="93">
        <v>45840</v>
      </c>
      <c r="I523" s="93" t="s">
        <v>62</v>
      </c>
      <c r="J523" s="29"/>
      <c r="K523" s="110">
        <v>0</v>
      </c>
      <c r="L523" s="110">
        <v>0</v>
      </c>
      <c r="M523" s="110">
        <v>0</v>
      </c>
      <c r="N523" s="110">
        <v>0</v>
      </c>
      <c r="O523" s="29" t="s">
        <v>4385</v>
      </c>
      <c r="P523" s="126">
        <v>521</v>
      </c>
      <c r="Q523" t="str">
        <f t="shared" si="8"/>
        <v>WESTERNREFININGPIPELINELLC200EASTHARDINSTREETFINDLAY</v>
      </c>
    </row>
    <row r="524" spans="1:17" x14ac:dyDescent="0.25">
      <c r="A524" s="29"/>
      <c r="B524" s="29" t="s">
        <v>4472</v>
      </c>
      <c r="C524" s="92" t="s">
        <v>3542</v>
      </c>
      <c r="D524" s="100" t="s">
        <v>3543</v>
      </c>
      <c r="E524" s="29"/>
      <c r="F524" s="93" t="s">
        <v>1035</v>
      </c>
      <c r="G524" s="93" t="s">
        <v>84</v>
      </c>
      <c r="H524" s="93">
        <v>87413</v>
      </c>
      <c r="I524" s="93" t="s">
        <v>62</v>
      </c>
      <c r="J524" s="29"/>
      <c r="K524" s="110">
        <v>0</v>
      </c>
      <c r="L524" s="110">
        <v>0</v>
      </c>
      <c r="M524" s="110">
        <v>0</v>
      </c>
      <c r="N524" s="110">
        <v>0</v>
      </c>
      <c r="O524" s="29" t="s">
        <v>4385</v>
      </c>
      <c r="P524" s="126">
        <v>522</v>
      </c>
      <c r="Q524" t="str">
        <f t="shared" si="8"/>
        <v>WESTERNREFININGSOUTHWESTINCBLOOMFIELDPRODUCTSTERMINAL111COUNTYRD4990BLOOMFIELD</v>
      </c>
    </row>
    <row r="525" spans="1:17" x14ac:dyDescent="0.25">
      <c r="A525" s="29"/>
      <c r="B525" s="29"/>
      <c r="C525" s="94" t="s">
        <v>3554</v>
      </c>
      <c r="D525" s="111" t="s">
        <v>3555</v>
      </c>
      <c r="E525" s="29"/>
      <c r="F525" s="111" t="s">
        <v>246</v>
      </c>
      <c r="G525" s="111" t="s">
        <v>80</v>
      </c>
      <c r="H525" s="111">
        <v>75024</v>
      </c>
      <c r="I525" s="93" t="s">
        <v>62</v>
      </c>
      <c r="J525" s="29"/>
      <c r="K525" s="110">
        <v>1</v>
      </c>
      <c r="L525" s="110">
        <v>3</v>
      </c>
      <c r="M525" s="110">
        <v>8164</v>
      </c>
      <c r="N525" s="110">
        <v>15103</v>
      </c>
      <c r="O525" s="29" t="s">
        <v>4386</v>
      </c>
      <c r="P525" s="126">
        <v>523</v>
      </c>
      <c r="Q525" t="str">
        <f t="shared" si="8"/>
        <v>WHITEROCKOIL&amp;GASLLC5810TENNYSONPARKWAYPLANO</v>
      </c>
    </row>
    <row r="526" spans="1:17" x14ac:dyDescent="0.25">
      <c r="A526" s="29"/>
      <c r="B526" s="29"/>
      <c r="C526" s="94" t="s">
        <v>3561</v>
      </c>
      <c r="D526" s="111" t="s">
        <v>3562</v>
      </c>
      <c r="E526" s="29"/>
      <c r="F526" s="111" t="s">
        <v>60</v>
      </c>
      <c r="G526" s="111" t="s">
        <v>61</v>
      </c>
      <c r="H526" s="111">
        <v>80203</v>
      </c>
      <c r="I526" s="93" t="s">
        <v>62</v>
      </c>
      <c r="J526" s="29"/>
      <c r="K526" s="110">
        <v>1</v>
      </c>
      <c r="L526" s="110">
        <v>2</v>
      </c>
      <c r="M526" s="110">
        <v>63433</v>
      </c>
      <c r="N526" s="110">
        <v>18053</v>
      </c>
      <c r="O526" s="29" t="s">
        <v>4386</v>
      </c>
      <c r="P526" s="126">
        <v>524</v>
      </c>
      <c r="Q526" t="str">
        <f t="shared" si="8"/>
        <v>WHITINGOILANDGASCORPORATION1700LINCOLNSTREETDENVER</v>
      </c>
    </row>
    <row r="527" spans="1:17" x14ac:dyDescent="0.25">
      <c r="A527" s="29"/>
      <c r="B527" s="29"/>
      <c r="C527" s="94" t="s">
        <v>3571</v>
      </c>
      <c r="D527" s="111" t="s">
        <v>3572</v>
      </c>
      <c r="E527" s="29"/>
      <c r="F527" s="111" t="s">
        <v>3573</v>
      </c>
      <c r="G527" s="111" t="s">
        <v>84</v>
      </c>
      <c r="H527" s="111">
        <v>88210</v>
      </c>
      <c r="I527" s="93" t="s">
        <v>62</v>
      </c>
      <c r="J527" s="29"/>
      <c r="K527" s="110">
        <v>0</v>
      </c>
      <c r="L527" s="110">
        <v>1</v>
      </c>
      <c r="M527" s="110">
        <v>0</v>
      </c>
      <c r="N527" s="110">
        <v>272</v>
      </c>
      <c r="O527" s="29" t="s">
        <v>4386</v>
      </c>
      <c r="P527" s="126">
        <v>525</v>
      </c>
      <c r="Q527" t="str">
        <f t="shared" si="8"/>
        <v>WILLIAMJSWEATTTRUSTB512WTEXASAVEARTESIA</v>
      </c>
    </row>
    <row r="528" spans="1:17" x14ac:dyDescent="0.25">
      <c r="A528" s="29"/>
      <c r="B528" s="29" t="s">
        <v>4472</v>
      </c>
      <c r="C528" s="92" t="s">
        <v>3574</v>
      </c>
      <c r="D528" s="100" t="s">
        <v>3575</v>
      </c>
      <c r="E528" s="29"/>
      <c r="F528" s="93" t="s">
        <v>593</v>
      </c>
      <c r="G528" s="93" t="s">
        <v>84</v>
      </c>
      <c r="H528" s="93">
        <v>87410</v>
      </c>
      <c r="I528" s="93" t="s">
        <v>62</v>
      </c>
      <c r="J528" s="29"/>
      <c r="K528" s="110">
        <v>0</v>
      </c>
      <c r="L528" s="110">
        <v>0</v>
      </c>
      <c r="M528" s="110">
        <v>0</v>
      </c>
      <c r="N528" s="110">
        <v>0</v>
      </c>
      <c r="O528" s="29" t="s">
        <v>4385</v>
      </c>
      <c r="P528" s="126">
        <v>526</v>
      </c>
      <c r="Q528" t="str">
        <f t="shared" si="8"/>
        <v>WILLIAMSPRODUCTIONCOMPANYLLCPOBOX640AZTEC</v>
      </c>
    </row>
    <row r="529" spans="1:17" x14ac:dyDescent="0.25">
      <c r="A529" s="29"/>
      <c r="B529" s="29" t="s">
        <v>4472</v>
      </c>
      <c r="C529" s="92" t="s">
        <v>3576</v>
      </c>
      <c r="D529" s="100" t="s">
        <v>3577</v>
      </c>
      <c r="E529" s="29"/>
      <c r="F529" s="93" t="s">
        <v>409</v>
      </c>
      <c r="G529" s="93" t="s">
        <v>2108</v>
      </c>
      <c r="H529" s="93">
        <v>39296</v>
      </c>
      <c r="I529" s="93" t="s">
        <v>62</v>
      </c>
      <c r="J529" s="29"/>
      <c r="K529" s="110">
        <v>0</v>
      </c>
      <c r="L529" s="110">
        <v>0</v>
      </c>
      <c r="M529" s="110">
        <v>0</v>
      </c>
      <c r="N529" s="110">
        <v>0</v>
      </c>
      <c r="O529" s="29" t="s">
        <v>4385</v>
      </c>
      <c r="P529" s="126">
        <v>527</v>
      </c>
      <c r="Q529" t="str">
        <f t="shared" si="8"/>
        <v>WORKINGPARTNERSINCPOBOX55809JACKSON</v>
      </c>
    </row>
    <row r="530" spans="1:17" x14ac:dyDescent="0.25">
      <c r="A530" s="29"/>
      <c r="B530" s="29"/>
      <c r="C530" s="112" t="s">
        <v>4529</v>
      </c>
      <c r="D530" s="100" t="s">
        <v>3579</v>
      </c>
      <c r="E530" s="29"/>
      <c r="F530" s="93" t="s">
        <v>183</v>
      </c>
      <c r="G530" s="93" t="s">
        <v>184</v>
      </c>
      <c r="H530" s="93">
        <v>74172</v>
      </c>
      <c r="I530" s="93" t="s">
        <v>62</v>
      </c>
      <c r="J530" s="29"/>
      <c r="K530" s="110">
        <v>147</v>
      </c>
      <c r="L530" s="110">
        <v>125</v>
      </c>
      <c r="M530" s="110">
        <v>21510113</v>
      </c>
      <c r="N530" s="110">
        <v>3905038</v>
      </c>
      <c r="O530" s="29" t="s">
        <v>4386</v>
      </c>
      <c r="P530" s="126">
        <v>528</v>
      </c>
      <c r="Q530" t="str">
        <f t="shared" si="8"/>
        <v>WPXENERGYPERMIANLLCONEWILLIAMSCENTERTULSA</v>
      </c>
    </row>
    <row r="531" spans="1:17" x14ac:dyDescent="0.25">
      <c r="A531" s="29"/>
      <c r="B531" s="29"/>
      <c r="C531" s="94" t="s">
        <v>3587</v>
      </c>
      <c r="D531" s="111" t="s">
        <v>3588</v>
      </c>
      <c r="E531" s="29"/>
      <c r="F531" s="111" t="s">
        <v>153</v>
      </c>
      <c r="G531" s="111" t="s">
        <v>80</v>
      </c>
      <c r="H531" s="111">
        <v>79705</v>
      </c>
      <c r="I531" s="93" t="s">
        <v>62</v>
      </c>
      <c r="J531" s="29"/>
      <c r="K531" s="110">
        <v>0</v>
      </c>
      <c r="L531" s="110">
        <v>1</v>
      </c>
      <c r="M531" s="110">
        <v>8684</v>
      </c>
      <c r="N531" s="110">
        <v>1</v>
      </c>
      <c r="O531" s="29" t="s">
        <v>4386</v>
      </c>
      <c r="P531" s="126">
        <v>529</v>
      </c>
      <c r="Q531" t="str">
        <f t="shared" si="8"/>
        <v>WTGEXPLORATIONINC401WWADLEYAVEMIDLAND</v>
      </c>
    </row>
    <row r="532" spans="1:17" x14ac:dyDescent="0.25">
      <c r="A532" s="29"/>
      <c r="B532" s="29"/>
      <c r="C532" s="112" t="s">
        <v>4530</v>
      </c>
      <c r="D532" s="100" t="s">
        <v>3594</v>
      </c>
      <c r="E532" s="29"/>
      <c r="F532" s="93" t="s">
        <v>2834</v>
      </c>
      <c r="G532" s="93" t="s">
        <v>80</v>
      </c>
      <c r="H532" s="93">
        <v>77389</v>
      </c>
      <c r="I532" s="93" t="s">
        <v>62</v>
      </c>
      <c r="J532" s="29"/>
      <c r="K532" s="110">
        <v>257</v>
      </c>
      <c r="L532" s="110">
        <v>415</v>
      </c>
      <c r="M532" s="110">
        <v>62789915</v>
      </c>
      <c r="N532" s="110">
        <v>18308687</v>
      </c>
      <c r="O532" s="29" t="s">
        <v>4386</v>
      </c>
      <c r="P532" s="126">
        <v>530</v>
      </c>
      <c r="Q532" t="str">
        <f t="shared" si="8"/>
        <v>XTOENERGYINC22777SPRINGWOODVILLAGEPARKWAYSPRING</v>
      </c>
    </row>
    <row r="533" spans="1:17" x14ac:dyDescent="0.25">
      <c r="A533" s="29"/>
      <c r="B533" s="29"/>
      <c r="C533" s="94" t="s">
        <v>3602</v>
      </c>
      <c r="D533" s="111" t="s">
        <v>3603</v>
      </c>
      <c r="E533" s="29"/>
      <c r="F533" s="111" t="s">
        <v>153</v>
      </c>
      <c r="G533" s="111" t="s">
        <v>80</v>
      </c>
      <c r="H533" s="111">
        <v>79707</v>
      </c>
      <c r="I533" s="93" t="s">
        <v>62</v>
      </c>
      <c r="J533" s="29"/>
      <c r="K533" s="110">
        <v>312</v>
      </c>
      <c r="L533" s="110">
        <v>129</v>
      </c>
      <c r="M533" s="110">
        <v>51211785</v>
      </c>
      <c r="N533" s="110">
        <v>13572159</v>
      </c>
      <c r="O533" s="29" t="s">
        <v>4386</v>
      </c>
      <c r="P533" s="126">
        <v>531</v>
      </c>
      <c r="Q533" t="str">
        <f t="shared" si="8"/>
        <v>XTOPERMIANOPERATINGLLC6401HOLIDAYHILLROADMIDLAND</v>
      </c>
    </row>
    <row r="534" spans="1:17" x14ac:dyDescent="0.25">
      <c r="A534" s="29"/>
      <c r="B534" s="29"/>
      <c r="C534" s="94" t="s">
        <v>3604</v>
      </c>
      <c r="D534" s="111" t="s">
        <v>293</v>
      </c>
      <c r="E534" s="29"/>
      <c r="F534" s="111" t="s">
        <v>206</v>
      </c>
      <c r="G534" s="111" t="s">
        <v>84</v>
      </c>
      <c r="H534" s="111">
        <v>88240</v>
      </c>
      <c r="I534" s="93" t="s">
        <v>62</v>
      </c>
      <c r="J534" s="29"/>
      <c r="K534" s="110">
        <v>0</v>
      </c>
      <c r="L534" s="110">
        <v>6</v>
      </c>
      <c r="M534" s="110">
        <v>7158</v>
      </c>
      <c r="N534" s="110">
        <v>1859</v>
      </c>
      <c r="O534" s="29" t="s">
        <v>4386</v>
      </c>
      <c r="P534" s="126">
        <v>532</v>
      </c>
      <c r="Q534" t="str">
        <f t="shared" si="8"/>
        <v>YARBROUGHOILLP1008WESTBROADWAYHOBBS</v>
      </c>
    </row>
    <row r="535" spans="1:17" x14ac:dyDescent="0.25">
      <c r="A535" s="29"/>
      <c r="B535" s="29"/>
      <c r="C535" s="94" t="s">
        <v>3605</v>
      </c>
      <c r="D535" s="111" t="s">
        <v>3606</v>
      </c>
      <c r="E535" s="29"/>
      <c r="F535" s="111" t="s">
        <v>209</v>
      </c>
      <c r="G535" s="111" t="s">
        <v>84</v>
      </c>
      <c r="H535" s="111">
        <v>88202</v>
      </c>
      <c r="I535" s="93" t="s">
        <v>62</v>
      </c>
      <c r="J535" s="29"/>
      <c r="K535" s="110">
        <v>1</v>
      </c>
      <c r="L535" s="110">
        <v>4</v>
      </c>
      <c r="M535" s="110">
        <v>35977</v>
      </c>
      <c r="N535" s="110">
        <v>9884</v>
      </c>
      <c r="O535" s="29" t="s">
        <v>4386</v>
      </c>
      <c r="P535" s="126">
        <v>533</v>
      </c>
      <c r="Q535" t="str">
        <f t="shared" si="8"/>
        <v>YATESENERGYCORPPOBOX2323ROSWELL</v>
      </c>
    </row>
    <row r="536" spans="1:17" x14ac:dyDescent="0.25">
      <c r="A536" s="29"/>
      <c r="B536" s="29"/>
      <c r="C536" s="94" t="s">
        <v>3613</v>
      </c>
      <c r="D536" s="111" t="s">
        <v>3614</v>
      </c>
      <c r="E536" s="29"/>
      <c r="F536" s="111" t="s">
        <v>3615</v>
      </c>
      <c r="G536" s="111" t="s">
        <v>80</v>
      </c>
      <c r="H536" s="111">
        <v>76087</v>
      </c>
      <c r="I536" s="93" t="s">
        <v>62</v>
      </c>
      <c r="J536" s="29"/>
      <c r="K536" s="110">
        <v>1</v>
      </c>
      <c r="L536" s="110">
        <v>9</v>
      </c>
      <c r="M536" s="110">
        <v>60351</v>
      </c>
      <c r="N536" s="110">
        <v>10727</v>
      </c>
      <c r="O536" s="29" t="s">
        <v>4386</v>
      </c>
      <c r="P536" s="126">
        <v>534</v>
      </c>
      <c r="Q536" t="str">
        <f t="shared" si="8"/>
        <v>ZACHARYOILOPERATINGCO4971EINTERSTATE20WILLOWPARK</v>
      </c>
    </row>
    <row r="537" spans="1:17" x14ac:dyDescent="0.25">
      <c r="A537" s="29"/>
      <c r="B537" s="29"/>
      <c r="C537" s="94" t="s">
        <v>3620</v>
      </c>
      <c r="D537" s="111" t="s">
        <v>3621</v>
      </c>
      <c r="E537" s="29"/>
      <c r="F537" s="111" t="s">
        <v>1265</v>
      </c>
      <c r="G537" s="111" t="s">
        <v>84</v>
      </c>
      <c r="H537" s="111">
        <v>88260</v>
      </c>
      <c r="I537" s="93" t="s">
        <v>62</v>
      </c>
      <c r="J537" s="29"/>
      <c r="K537" s="115">
        <v>6</v>
      </c>
      <c r="L537" s="115">
        <v>7</v>
      </c>
      <c r="M537" s="115">
        <v>13074</v>
      </c>
      <c r="N537" s="115">
        <v>1402</v>
      </c>
      <c r="O537" s="29" t="s">
        <v>4386</v>
      </c>
      <c r="P537" s="126">
        <v>535</v>
      </c>
      <c r="Q537" t="str">
        <f t="shared" si="8"/>
        <v>ZIMMERMANOIL&amp;GASEXPLORATIONINC2009SOUTHMAINSTREETLOVINGTON</v>
      </c>
    </row>
    <row r="538" spans="1:17" x14ac:dyDescent="0.25">
      <c r="A538" s="29"/>
      <c r="B538" s="29"/>
      <c r="C538" s="29"/>
      <c r="D538" s="29"/>
      <c r="E538" s="29"/>
      <c r="F538" s="29"/>
      <c r="G538" s="29"/>
      <c r="H538" s="29"/>
      <c r="I538" s="29"/>
      <c r="J538" s="116" t="s">
        <v>4531</v>
      </c>
      <c r="K538" s="117">
        <v>19603</v>
      </c>
      <c r="L538" s="117">
        <v>31263</v>
      </c>
      <c r="M538" s="117">
        <v>2568242456</v>
      </c>
      <c r="N538" s="117">
        <v>459351681</v>
      </c>
      <c r="O538" s="29"/>
      <c r="P538" s="126">
        <v>536</v>
      </c>
    </row>
  </sheetData>
  <autoFilter ref="A2:O537" xr:uid="{8CC699F0-5F66-4346-8BFC-91439D86D8D8}"/>
  <pageMargins left="0.7" right="0.7" top="0.75" bottom="0.75" header="0.3" footer="0.3"/>
  <pageSetup orientation="portrait" verticalDpi="36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991BD6-6DF1-4EAA-A5E2-50573D25A290}">
  <dimension ref="B3:I35"/>
  <sheetViews>
    <sheetView workbookViewId="0">
      <selection activeCell="C4" sqref="C4"/>
    </sheetView>
  </sheetViews>
  <sheetFormatPr defaultRowHeight="15" x14ac:dyDescent="0.25"/>
  <cols>
    <col min="2" max="2" width="54.28515625" customWidth="1"/>
    <col min="3" max="3" width="67.140625" customWidth="1"/>
    <col min="4" max="4" width="23.7109375" customWidth="1"/>
    <col min="5" max="5" width="18.7109375" customWidth="1"/>
    <col min="6" max="6" width="26.42578125" customWidth="1"/>
  </cols>
  <sheetData>
    <row r="3" spans="2:6" ht="15.75" x14ac:dyDescent="0.25">
      <c r="B3" s="261" t="s">
        <v>5154</v>
      </c>
      <c r="E3" t="s">
        <v>5189</v>
      </c>
    </row>
    <row r="4" spans="2:6" x14ac:dyDescent="0.25">
      <c r="B4" t="s">
        <v>5155</v>
      </c>
      <c r="C4" s="339">
        <f>'Crude Oil First Purchase Price'!B528</f>
        <v>45</v>
      </c>
    </row>
    <row r="5" spans="2:6" x14ac:dyDescent="0.25">
      <c r="B5" s="260"/>
    </row>
    <row r="6" spans="2:6" x14ac:dyDescent="0.25">
      <c r="B6" s="263" t="s">
        <v>5156</v>
      </c>
      <c r="C6" s="264" t="s">
        <v>5157</v>
      </c>
      <c r="D6" s="265" t="s">
        <v>5158</v>
      </c>
      <c r="E6" s="264" t="s">
        <v>5159</v>
      </c>
      <c r="F6" s="264" t="s">
        <v>5160</v>
      </c>
    </row>
    <row r="7" spans="2:6" x14ac:dyDescent="0.25">
      <c r="B7" s="266" t="s">
        <v>5161</v>
      </c>
      <c r="C7" s="267" t="s">
        <v>5154</v>
      </c>
      <c r="D7" s="268">
        <v>1</v>
      </c>
      <c r="E7" s="267" t="s">
        <v>5162</v>
      </c>
      <c r="F7" s="267" t="s">
        <v>5163</v>
      </c>
    </row>
    <row r="9" spans="2:6" x14ac:dyDescent="0.25">
      <c r="B9" t="s">
        <v>5164</v>
      </c>
      <c r="C9" s="262" t="s">
        <v>5165</v>
      </c>
    </row>
    <row r="10" spans="2:6" x14ac:dyDescent="0.25">
      <c r="B10" t="s">
        <v>5166</v>
      </c>
      <c r="C10" s="262" t="s">
        <v>5167</v>
      </c>
    </row>
    <row r="11" spans="2:6" x14ac:dyDescent="0.25">
      <c r="B11" t="s">
        <v>5168</v>
      </c>
      <c r="C11" s="269" t="s">
        <v>5169</v>
      </c>
    </row>
    <row r="12" spans="2:6" x14ac:dyDescent="0.25">
      <c r="B12" t="s">
        <v>5170</v>
      </c>
      <c r="C12" s="69" t="s">
        <v>5153</v>
      </c>
    </row>
    <row r="13" spans="2:6" x14ac:dyDescent="0.25">
      <c r="B13" t="s">
        <v>5171</v>
      </c>
      <c r="C13" s="270" t="s">
        <v>5172</v>
      </c>
    </row>
    <row r="14" spans="2:6" x14ac:dyDescent="0.25">
      <c r="B14" t="s">
        <v>5173</v>
      </c>
      <c r="C14" s="270" t="s">
        <v>5174</v>
      </c>
    </row>
    <row r="15" spans="2:6" x14ac:dyDescent="0.25">
      <c r="C15" t="s">
        <v>5175</v>
      </c>
      <c r="F15" s="271" t="s">
        <v>5176</v>
      </c>
    </row>
    <row r="17" spans="2:9" ht="15.75" x14ac:dyDescent="0.25">
      <c r="B17" s="261" t="s">
        <v>5178</v>
      </c>
      <c r="C17" s="21"/>
      <c r="D17" s="21" t="s">
        <v>5188</v>
      </c>
      <c r="E17" s="21"/>
      <c r="F17" s="21"/>
      <c r="G17" s="21"/>
      <c r="H17" s="21"/>
      <c r="I17" s="21"/>
    </row>
    <row r="18" spans="2:9" x14ac:dyDescent="0.25">
      <c r="B18" t="s">
        <v>5185</v>
      </c>
      <c r="C18" s="339">
        <f>'HH Natural Gas Spot Price'!B295</f>
        <v>2.39</v>
      </c>
      <c r="D18" s="21"/>
      <c r="E18" s="21"/>
      <c r="F18" s="21"/>
      <c r="G18" s="21"/>
      <c r="H18" s="21"/>
      <c r="I18" s="21"/>
    </row>
    <row r="19" spans="2:9" x14ac:dyDescent="0.25">
      <c r="B19" s="272"/>
      <c r="C19" s="262"/>
      <c r="D19" s="262"/>
      <c r="E19" s="262"/>
      <c r="F19" s="262"/>
      <c r="G19" s="21"/>
      <c r="H19" s="21"/>
      <c r="I19" s="21"/>
    </row>
    <row r="20" spans="2:9" x14ac:dyDescent="0.25">
      <c r="B20" s="273" t="s">
        <v>5156</v>
      </c>
      <c r="C20" s="274" t="s">
        <v>5157</v>
      </c>
      <c r="D20" s="275" t="s">
        <v>5158</v>
      </c>
      <c r="E20" s="274" t="s">
        <v>5159</v>
      </c>
      <c r="F20" s="274" t="s">
        <v>5160</v>
      </c>
      <c r="G20" s="21"/>
      <c r="H20" s="21"/>
      <c r="I20" s="21"/>
    </row>
    <row r="21" spans="2:9" x14ac:dyDescent="0.25">
      <c r="B21" s="276" t="s">
        <v>5161</v>
      </c>
      <c r="C21" s="267" t="s">
        <v>5178</v>
      </c>
      <c r="D21" s="268">
        <v>1</v>
      </c>
      <c r="E21" s="267" t="s">
        <v>5162</v>
      </c>
      <c r="F21" s="267" t="s">
        <v>5179</v>
      </c>
      <c r="G21" s="21"/>
      <c r="H21" s="21"/>
      <c r="I21" s="21"/>
    </row>
    <row r="22" spans="2:9" x14ac:dyDescent="0.25">
      <c r="G22" s="21"/>
      <c r="H22" s="21"/>
      <c r="I22" s="21"/>
    </row>
    <row r="23" spans="2:9" x14ac:dyDescent="0.25">
      <c r="B23" t="s">
        <v>5164</v>
      </c>
      <c r="C23" s="262" t="s">
        <v>5177</v>
      </c>
      <c r="G23" s="21"/>
      <c r="H23" s="21"/>
      <c r="I23" s="21"/>
    </row>
    <row r="24" spans="2:9" x14ac:dyDescent="0.25">
      <c r="B24" t="s">
        <v>5166</v>
      </c>
      <c r="C24" s="262" t="s">
        <v>5180</v>
      </c>
      <c r="G24" s="21"/>
      <c r="H24" s="21"/>
      <c r="I24" s="21"/>
    </row>
    <row r="25" spans="2:9" x14ac:dyDescent="0.25">
      <c r="B25" t="s">
        <v>5168</v>
      </c>
      <c r="C25" s="277" t="s">
        <v>5181</v>
      </c>
      <c r="G25" s="21"/>
      <c r="H25" s="21"/>
      <c r="I25" s="21"/>
    </row>
    <row r="26" spans="2:9" x14ac:dyDescent="0.25">
      <c r="B26" t="s">
        <v>5170</v>
      </c>
      <c r="C26" s="69" t="s">
        <v>5182</v>
      </c>
      <c r="G26" s="21"/>
      <c r="H26" s="21"/>
      <c r="I26" s="21"/>
    </row>
    <row r="27" spans="2:9" x14ac:dyDescent="0.25">
      <c r="B27" s="279" t="s">
        <v>5171</v>
      </c>
      <c r="G27" s="21"/>
      <c r="H27" s="21"/>
      <c r="I27" s="21"/>
    </row>
    <row r="28" spans="2:9" x14ac:dyDescent="0.25">
      <c r="B28" t="s">
        <v>5173</v>
      </c>
      <c r="C28" s="278" t="s">
        <v>5183</v>
      </c>
    </row>
    <row r="29" spans="2:9" x14ac:dyDescent="0.25">
      <c r="C29" t="s">
        <v>5175</v>
      </c>
      <c r="F29" s="280" t="s">
        <v>5184</v>
      </c>
    </row>
    <row r="30" spans="2:9" x14ac:dyDescent="0.25">
      <c r="F30" s="280"/>
    </row>
    <row r="31" spans="2:9" x14ac:dyDescent="0.25">
      <c r="B31" s="327" t="s">
        <v>5190</v>
      </c>
      <c r="C31" s="327"/>
      <c r="F31" s="280"/>
    </row>
    <row r="32" spans="2:9" ht="20.25" customHeight="1" x14ac:dyDescent="0.25">
      <c r="B32" s="328" t="s">
        <v>5208</v>
      </c>
      <c r="C32" s="328"/>
      <c r="F32" s="280"/>
    </row>
    <row r="33" spans="2:6" ht="18" customHeight="1" x14ac:dyDescent="0.25">
      <c r="B33" s="328" t="s">
        <v>5191</v>
      </c>
      <c r="C33" s="328"/>
      <c r="F33" s="280"/>
    </row>
    <row r="34" spans="2:6" x14ac:dyDescent="0.25">
      <c r="B34" s="329"/>
      <c r="C34" s="330"/>
      <c r="F34" s="280"/>
    </row>
    <row r="35" spans="2:6" x14ac:dyDescent="0.25">
      <c r="B35" s="328" t="s">
        <v>5209</v>
      </c>
      <c r="C35" s="328"/>
    </row>
  </sheetData>
  <mergeCells count="5">
    <mergeCell ref="B31:C31"/>
    <mergeCell ref="B32:C32"/>
    <mergeCell ref="B33:C33"/>
    <mergeCell ref="B35:C35"/>
    <mergeCell ref="B34:C34"/>
  </mergeCells>
  <hyperlinks>
    <hyperlink ref="B7" location="'Data 1'!A1" display="Data 1" xr:uid="{91254567-F8A4-4AC7-B7A1-477DD21C0276}"/>
    <hyperlink ref="C12" r:id="rId1" xr:uid="{62DAD1A7-AA12-4EAC-80A5-7A25E2E9B006}"/>
    <hyperlink ref="C13" r:id="rId2" display="http://www.eia.gov/" xr:uid="{F564A112-91DA-4808-B892-97F0D249D9C9}"/>
    <hyperlink ref="C14" r:id="rId3" display="mailto:infoctr@eia.gov" xr:uid="{83F2EA78-6F0D-46BF-9CA9-9A9BE2AE448B}"/>
    <hyperlink ref="B21" location="'Data 1'!A1" display="Data 1" xr:uid="{47CE2417-FFC7-4ADB-A715-691FC5426675}"/>
    <hyperlink ref="C26" r:id="rId4" xr:uid="{5046B19F-A21A-4445-A8B6-E228055CCE13}"/>
    <hyperlink ref="C28" r:id="rId5" display="InfoCtr@eia.gov" xr:uid="{6D7AD6CF-4A9A-486C-9817-5216EB1BF1EA}"/>
  </hyperlinks>
  <pageMargins left="0.7" right="0.7" top="0.75" bottom="0.75" header="0.3" footer="0.3"/>
  <pageSetup orientation="portrait" horizontalDpi="360" verticalDpi="360" r:id="rId6"/>
  <drawing r:id="rId7"/>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C82D3E-E337-4A39-8214-B7B7B57CFA9A}">
  <dimension ref="A1:G528"/>
  <sheetViews>
    <sheetView topLeftCell="A493" workbookViewId="0">
      <selection activeCell="B528" sqref="B528"/>
    </sheetView>
  </sheetViews>
  <sheetFormatPr defaultRowHeight="15" x14ac:dyDescent="0.25"/>
  <cols>
    <col min="1" max="1" width="22.140625" customWidth="1"/>
    <col min="2" max="2" width="32.140625" customWidth="1"/>
  </cols>
  <sheetData>
    <row r="1" spans="1:7" ht="15.75" x14ac:dyDescent="0.25">
      <c r="A1" s="332"/>
      <c r="B1" s="333" t="s">
        <v>5211</v>
      </c>
      <c r="C1" s="334"/>
      <c r="D1" s="334"/>
      <c r="E1" s="334"/>
      <c r="F1" s="334"/>
      <c r="G1" s="334"/>
    </row>
    <row r="2" spans="1:7" ht="24.75" x14ac:dyDescent="0.25">
      <c r="A2" s="335" t="s">
        <v>5212</v>
      </c>
      <c r="B2" s="335" t="s">
        <v>5213</v>
      </c>
      <c r="C2" s="334"/>
      <c r="D2" s="334"/>
      <c r="E2" s="334"/>
      <c r="F2" s="334"/>
      <c r="G2" s="334"/>
    </row>
    <row r="3" spans="1:7" ht="39" customHeight="1" x14ac:dyDescent="0.25">
      <c r="A3" s="336" t="s">
        <v>5214</v>
      </c>
      <c r="B3" s="336" t="s">
        <v>5154</v>
      </c>
      <c r="C3" s="334"/>
      <c r="D3" s="334"/>
      <c r="E3" s="334"/>
      <c r="F3" s="334"/>
      <c r="G3" s="334"/>
    </row>
    <row r="4" spans="1:7" x14ac:dyDescent="0.25">
      <c r="A4" s="337">
        <v>28321</v>
      </c>
      <c r="B4" s="334">
        <v>8.9499999999999993</v>
      </c>
      <c r="C4" s="334"/>
      <c r="D4" s="334"/>
      <c r="E4" s="334"/>
      <c r="F4" s="334"/>
      <c r="G4" s="334"/>
    </row>
    <row r="5" spans="1:7" x14ac:dyDescent="0.25">
      <c r="A5" s="337">
        <v>28352</v>
      </c>
      <c r="B5" s="334">
        <v>9.25</v>
      </c>
      <c r="C5" s="334"/>
      <c r="D5" s="334"/>
      <c r="E5" s="334"/>
      <c r="F5" s="334"/>
      <c r="G5" s="334"/>
    </row>
    <row r="6" spans="1:7" x14ac:dyDescent="0.25">
      <c r="A6" s="337">
        <v>28383</v>
      </c>
      <c r="B6" s="334">
        <v>9.2100000000000009</v>
      </c>
      <c r="C6" s="334"/>
      <c r="D6" s="334"/>
      <c r="E6" s="334"/>
      <c r="F6" s="334"/>
      <c r="G6" s="334"/>
    </row>
    <row r="7" spans="1:7" x14ac:dyDescent="0.25">
      <c r="A7" s="337">
        <v>28413</v>
      </c>
      <c r="B7" s="334">
        <v>9.4700000000000006</v>
      </c>
      <c r="C7" s="334"/>
      <c r="D7" s="334"/>
      <c r="E7" s="334"/>
      <c r="F7" s="334"/>
      <c r="G7" s="334"/>
    </row>
    <row r="8" spans="1:7" x14ac:dyDescent="0.25">
      <c r="A8" s="337">
        <v>28444</v>
      </c>
      <c r="B8" s="334">
        <v>9.64</v>
      </c>
      <c r="C8" s="334"/>
      <c r="D8" s="334"/>
      <c r="E8" s="334"/>
      <c r="F8" s="334"/>
      <c r="G8" s="334"/>
    </row>
    <row r="9" spans="1:7" x14ac:dyDescent="0.25">
      <c r="A9" s="337">
        <v>28474</v>
      </c>
      <c r="B9" s="334">
        <v>9.7899999999999991</v>
      </c>
      <c r="C9" s="334"/>
      <c r="D9" s="334"/>
      <c r="E9" s="334"/>
      <c r="F9" s="334"/>
      <c r="G9" s="334"/>
    </row>
    <row r="10" spans="1:7" x14ac:dyDescent="0.25">
      <c r="A10" s="337">
        <v>28505</v>
      </c>
      <c r="B10" s="334">
        <v>9.35</v>
      </c>
      <c r="C10" s="334"/>
      <c r="D10" s="334"/>
      <c r="E10" s="334"/>
      <c r="F10" s="334"/>
      <c r="G10" s="334"/>
    </row>
    <row r="11" spans="1:7" x14ac:dyDescent="0.25">
      <c r="A11" s="337">
        <v>28536</v>
      </c>
      <c r="B11" s="334">
        <v>10.02</v>
      </c>
      <c r="C11" s="334"/>
      <c r="D11" s="334"/>
      <c r="E11" s="334"/>
      <c r="F11" s="334"/>
      <c r="G11" s="334"/>
    </row>
    <row r="12" spans="1:7" x14ac:dyDescent="0.25">
      <c r="A12" s="337">
        <v>28564</v>
      </c>
      <c r="B12" s="334">
        <v>10.02</v>
      </c>
      <c r="C12" s="334"/>
      <c r="D12" s="334"/>
      <c r="E12" s="334"/>
      <c r="F12" s="334"/>
      <c r="G12" s="334"/>
    </row>
    <row r="13" spans="1:7" x14ac:dyDescent="0.25">
      <c r="A13" s="337">
        <v>28595</v>
      </c>
      <c r="B13" s="334">
        <v>10.050000000000001</v>
      </c>
      <c r="C13" s="334"/>
      <c r="D13" s="334"/>
      <c r="E13" s="334"/>
      <c r="F13" s="334"/>
      <c r="G13" s="334"/>
    </row>
    <row r="14" spans="1:7" x14ac:dyDescent="0.25">
      <c r="A14" s="337">
        <v>28625</v>
      </c>
      <c r="B14" s="334">
        <v>10.119999999999999</v>
      </c>
      <c r="C14" s="334"/>
      <c r="D14" s="334"/>
      <c r="E14" s="334"/>
      <c r="F14" s="334"/>
      <c r="G14" s="334"/>
    </row>
    <row r="15" spans="1:7" x14ac:dyDescent="0.25">
      <c r="A15" s="337">
        <v>28656</v>
      </c>
      <c r="B15" s="334">
        <v>10.19</v>
      </c>
      <c r="C15" s="334"/>
      <c r="D15" s="334"/>
      <c r="E15" s="334"/>
      <c r="F15" s="334"/>
      <c r="G15" s="334"/>
    </row>
    <row r="16" spans="1:7" x14ac:dyDescent="0.25">
      <c r="A16" s="337">
        <v>28686</v>
      </c>
      <c r="B16" s="334">
        <v>10.24</v>
      </c>
      <c r="C16" s="334"/>
      <c r="D16" s="334"/>
      <c r="E16" s="334"/>
      <c r="F16" s="334"/>
      <c r="G16" s="334"/>
    </row>
    <row r="17" spans="1:7" x14ac:dyDescent="0.25">
      <c r="A17" s="337">
        <v>28717</v>
      </c>
      <c r="B17" s="334">
        <v>10.74</v>
      </c>
      <c r="C17" s="334"/>
      <c r="D17" s="334"/>
      <c r="E17" s="334"/>
      <c r="F17" s="334"/>
      <c r="G17" s="334"/>
    </row>
    <row r="18" spans="1:7" x14ac:dyDescent="0.25">
      <c r="A18" s="337">
        <v>28748</v>
      </c>
      <c r="B18" s="334">
        <v>10.3</v>
      </c>
      <c r="C18" s="334"/>
      <c r="D18" s="334"/>
      <c r="E18" s="334"/>
      <c r="F18" s="334"/>
      <c r="G18" s="334"/>
    </row>
    <row r="19" spans="1:7" x14ac:dyDescent="0.25">
      <c r="A19" s="337">
        <v>28778</v>
      </c>
      <c r="B19" s="334">
        <v>10.48</v>
      </c>
      <c r="C19" s="334"/>
      <c r="D19" s="334"/>
      <c r="E19" s="334"/>
      <c r="F19" s="334"/>
      <c r="G19" s="334"/>
    </row>
    <row r="20" spans="1:7" x14ac:dyDescent="0.25">
      <c r="A20" s="337">
        <v>28809</v>
      </c>
      <c r="B20" s="334">
        <v>10.37</v>
      </c>
      <c r="C20" s="334"/>
      <c r="D20" s="334"/>
      <c r="E20" s="334"/>
      <c r="F20" s="334"/>
      <c r="G20" s="334"/>
    </row>
    <row r="21" spans="1:7" x14ac:dyDescent="0.25">
      <c r="A21" s="337">
        <v>28839</v>
      </c>
      <c r="B21" s="334">
        <v>10.25</v>
      </c>
      <c r="C21" s="334"/>
      <c r="D21" s="334"/>
      <c r="E21" s="334"/>
      <c r="F21" s="334"/>
      <c r="G21" s="334"/>
    </row>
    <row r="22" spans="1:7" x14ac:dyDescent="0.25">
      <c r="A22" s="337">
        <v>28870</v>
      </c>
      <c r="B22" s="334">
        <v>10.77</v>
      </c>
      <c r="C22" s="334"/>
      <c r="D22" s="334"/>
      <c r="E22" s="334"/>
      <c r="F22" s="334"/>
      <c r="G22" s="334"/>
    </row>
    <row r="23" spans="1:7" x14ac:dyDescent="0.25">
      <c r="A23" s="337">
        <v>28901</v>
      </c>
      <c r="B23" s="334">
        <v>10.91</v>
      </c>
      <c r="C23" s="334"/>
      <c r="D23" s="334"/>
      <c r="E23" s="334"/>
      <c r="F23" s="334"/>
      <c r="G23" s="334"/>
    </row>
    <row r="24" spans="1:7" x14ac:dyDescent="0.25">
      <c r="A24" s="337">
        <v>28929</v>
      </c>
      <c r="B24" s="334">
        <v>10.59</v>
      </c>
      <c r="C24" s="334"/>
      <c r="D24" s="334"/>
      <c r="E24" s="334"/>
      <c r="F24" s="334"/>
      <c r="G24" s="334"/>
    </row>
    <row r="25" spans="1:7" x14ac:dyDescent="0.25">
      <c r="A25" s="337">
        <v>28960</v>
      </c>
      <c r="B25" s="334">
        <v>11.19</v>
      </c>
      <c r="C25" s="334"/>
      <c r="D25" s="334"/>
      <c r="E25" s="334"/>
      <c r="F25" s="334"/>
      <c r="G25" s="334"/>
    </row>
    <row r="26" spans="1:7" x14ac:dyDescent="0.25">
      <c r="A26" s="337">
        <v>28990</v>
      </c>
      <c r="B26" s="334">
        <v>11.75</v>
      </c>
      <c r="C26" s="334"/>
      <c r="D26" s="334"/>
      <c r="E26" s="334"/>
      <c r="F26" s="334"/>
      <c r="G26" s="334"/>
    </row>
    <row r="27" spans="1:7" x14ac:dyDescent="0.25">
      <c r="A27" s="337">
        <v>29021</v>
      </c>
      <c r="B27" s="334">
        <v>13.28</v>
      </c>
      <c r="C27" s="334"/>
      <c r="D27" s="334"/>
      <c r="E27" s="334"/>
      <c r="F27" s="334"/>
      <c r="G27" s="334"/>
    </row>
    <row r="28" spans="1:7" x14ac:dyDescent="0.25">
      <c r="A28" s="337">
        <v>29051</v>
      </c>
      <c r="B28" s="334">
        <v>14.65</v>
      </c>
      <c r="C28" s="334"/>
      <c r="D28" s="334"/>
      <c r="E28" s="334"/>
      <c r="F28" s="334"/>
      <c r="G28" s="334"/>
    </row>
    <row r="29" spans="1:7" x14ac:dyDescent="0.25">
      <c r="A29" s="337">
        <v>29082</v>
      </c>
      <c r="B29" s="334">
        <v>15.5</v>
      </c>
      <c r="C29" s="334"/>
      <c r="D29" s="334"/>
      <c r="E29" s="334"/>
      <c r="F29" s="334"/>
      <c r="G29" s="334"/>
    </row>
    <row r="30" spans="1:7" x14ac:dyDescent="0.25">
      <c r="A30" s="337">
        <v>29113</v>
      </c>
      <c r="B30" s="334">
        <v>16.75</v>
      </c>
      <c r="C30" s="334"/>
      <c r="D30" s="334"/>
      <c r="E30" s="334"/>
      <c r="F30" s="334"/>
      <c r="G30" s="334"/>
    </row>
    <row r="31" spans="1:7" x14ac:dyDescent="0.25">
      <c r="A31" s="337">
        <v>29143</v>
      </c>
      <c r="B31" s="334">
        <v>17.989999999999998</v>
      </c>
      <c r="C31" s="334"/>
      <c r="D31" s="334"/>
      <c r="E31" s="334"/>
      <c r="F31" s="334"/>
      <c r="G31" s="334"/>
    </row>
    <row r="32" spans="1:7" x14ac:dyDescent="0.25">
      <c r="A32" s="337">
        <v>29174</v>
      </c>
      <c r="B32" s="334">
        <v>18.03</v>
      </c>
      <c r="C32" s="334"/>
      <c r="D32" s="334"/>
      <c r="E32" s="334"/>
      <c r="F32" s="334"/>
      <c r="G32" s="334"/>
    </row>
    <row r="33" spans="1:7" x14ac:dyDescent="0.25">
      <c r="A33" s="337">
        <v>29204</v>
      </c>
      <c r="B33" s="334">
        <v>19.739999999999998</v>
      </c>
      <c r="C33" s="334"/>
      <c r="D33" s="334"/>
      <c r="E33" s="334"/>
      <c r="F33" s="334"/>
      <c r="G33" s="334"/>
    </row>
    <row r="34" spans="1:7" x14ac:dyDescent="0.25">
      <c r="A34" s="337">
        <v>29235</v>
      </c>
      <c r="B34" s="334">
        <v>20.309999999999999</v>
      </c>
      <c r="C34" s="334"/>
      <c r="D34" s="334"/>
      <c r="E34" s="334"/>
      <c r="F34" s="334"/>
      <c r="G34" s="334"/>
    </row>
    <row r="35" spans="1:7" x14ac:dyDescent="0.25">
      <c r="A35" s="337">
        <v>29266</v>
      </c>
      <c r="B35" s="334">
        <v>22.09</v>
      </c>
      <c r="C35" s="334"/>
      <c r="D35" s="334"/>
      <c r="E35" s="334"/>
      <c r="F35" s="334"/>
      <c r="G35" s="334"/>
    </row>
    <row r="36" spans="1:7" x14ac:dyDescent="0.25">
      <c r="A36" s="337">
        <v>29295</v>
      </c>
      <c r="B36" s="334">
        <v>21.97</v>
      </c>
      <c r="C36" s="334"/>
      <c r="D36" s="334"/>
      <c r="E36" s="334"/>
      <c r="F36" s="334"/>
      <c r="G36" s="334"/>
    </row>
    <row r="37" spans="1:7" x14ac:dyDescent="0.25">
      <c r="A37" s="337">
        <v>29326</v>
      </c>
      <c r="B37" s="334">
        <v>22.21</v>
      </c>
      <c r="C37" s="334"/>
      <c r="D37" s="334"/>
      <c r="E37" s="334"/>
      <c r="F37" s="334"/>
      <c r="G37" s="334"/>
    </row>
    <row r="38" spans="1:7" x14ac:dyDescent="0.25">
      <c r="A38" s="337">
        <v>29356</v>
      </c>
      <c r="B38" s="334">
        <v>23.89</v>
      </c>
      <c r="C38" s="334"/>
      <c r="D38" s="334"/>
      <c r="E38" s="334"/>
      <c r="F38" s="334"/>
      <c r="G38" s="334"/>
    </row>
    <row r="39" spans="1:7" x14ac:dyDescent="0.25">
      <c r="A39" s="337">
        <v>29387</v>
      </c>
      <c r="B39" s="334">
        <v>23.97</v>
      </c>
      <c r="C39" s="334"/>
      <c r="D39" s="334"/>
      <c r="E39" s="334"/>
      <c r="F39" s="334"/>
      <c r="G39" s="334"/>
    </row>
    <row r="40" spans="1:7" x14ac:dyDescent="0.25">
      <c r="A40" s="337">
        <v>29417</v>
      </c>
      <c r="B40" s="334">
        <v>24.17</v>
      </c>
      <c r="C40" s="334"/>
      <c r="D40" s="334"/>
      <c r="E40" s="334"/>
      <c r="F40" s="334"/>
      <c r="G40" s="334"/>
    </row>
    <row r="41" spans="1:7" x14ac:dyDescent="0.25">
      <c r="A41" s="337">
        <v>29448</v>
      </c>
      <c r="B41" s="334">
        <v>26.73</v>
      </c>
      <c r="C41" s="334"/>
      <c r="D41" s="334"/>
      <c r="E41" s="334"/>
      <c r="F41" s="334"/>
      <c r="G41" s="334"/>
    </row>
    <row r="42" spans="1:7" x14ac:dyDescent="0.25">
      <c r="A42" s="337">
        <v>29479</v>
      </c>
      <c r="B42" s="334">
        <v>24.61</v>
      </c>
      <c r="C42" s="334"/>
      <c r="D42" s="334"/>
      <c r="E42" s="334"/>
      <c r="F42" s="334"/>
      <c r="G42" s="334"/>
    </row>
    <row r="43" spans="1:7" x14ac:dyDescent="0.25">
      <c r="A43" s="337">
        <v>29509</v>
      </c>
      <c r="B43" s="334">
        <v>25.79</v>
      </c>
      <c r="C43" s="334"/>
      <c r="D43" s="334"/>
      <c r="E43" s="334"/>
      <c r="F43" s="334"/>
      <c r="G43" s="334"/>
    </row>
    <row r="44" spans="1:7" x14ac:dyDescent="0.25">
      <c r="A44" s="337">
        <v>29540</v>
      </c>
      <c r="B44" s="334">
        <v>25.55</v>
      </c>
      <c r="C44" s="334"/>
      <c r="D44" s="334"/>
      <c r="E44" s="334"/>
      <c r="F44" s="334"/>
      <c r="G44" s="334"/>
    </row>
    <row r="45" spans="1:7" x14ac:dyDescent="0.25">
      <c r="A45" s="337">
        <v>29570</v>
      </c>
      <c r="B45" s="334">
        <v>27.84</v>
      </c>
      <c r="C45" s="334"/>
      <c r="D45" s="334"/>
      <c r="E45" s="334"/>
      <c r="F45" s="334"/>
      <c r="G45" s="334"/>
    </row>
    <row r="46" spans="1:7" x14ac:dyDescent="0.25">
      <c r="A46" s="337">
        <v>29601</v>
      </c>
      <c r="B46" s="334">
        <v>30.96</v>
      </c>
      <c r="C46" s="334"/>
      <c r="D46" s="334"/>
      <c r="E46" s="334"/>
      <c r="F46" s="334"/>
      <c r="G46" s="334"/>
    </row>
    <row r="47" spans="1:7" x14ac:dyDescent="0.25">
      <c r="A47" s="337">
        <v>29632</v>
      </c>
      <c r="B47" s="334">
        <v>40.119999999999997</v>
      </c>
      <c r="C47" s="334"/>
      <c r="D47" s="334"/>
      <c r="E47" s="334"/>
      <c r="F47" s="334"/>
      <c r="G47" s="334"/>
    </row>
    <row r="48" spans="1:7" x14ac:dyDescent="0.25">
      <c r="A48" s="337">
        <v>29660</v>
      </c>
      <c r="B48" s="334">
        <v>38.04</v>
      </c>
      <c r="C48" s="334"/>
      <c r="D48" s="334"/>
      <c r="E48" s="334"/>
      <c r="F48" s="334"/>
      <c r="G48" s="334"/>
    </row>
    <row r="49" spans="1:7" x14ac:dyDescent="0.25">
      <c r="A49" s="337">
        <v>29691</v>
      </c>
      <c r="B49" s="334">
        <v>36.31</v>
      </c>
      <c r="C49" s="334"/>
      <c r="D49" s="334"/>
      <c r="E49" s="334"/>
      <c r="F49" s="334"/>
      <c r="G49" s="334"/>
    </row>
    <row r="50" spans="1:7" x14ac:dyDescent="0.25">
      <c r="A50" s="337">
        <v>29721</v>
      </c>
      <c r="B50" s="334">
        <v>36.340000000000003</v>
      </c>
      <c r="C50" s="334"/>
      <c r="D50" s="334"/>
      <c r="E50" s="334"/>
      <c r="F50" s="334"/>
      <c r="G50" s="334"/>
    </row>
    <row r="51" spans="1:7" x14ac:dyDescent="0.25">
      <c r="A51" s="337">
        <v>29752</v>
      </c>
      <c r="B51" s="334">
        <v>34.94</v>
      </c>
      <c r="C51" s="334"/>
      <c r="D51" s="334"/>
      <c r="E51" s="334"/>
      <c r="F51" s="334"/>
      <c r="G51" s="334"/>
    </row>
    <row r="52" spans="1:7" x14ac:dyDescent="0.25">
      <c r="A52" s="337">
        <v>29782</v>
      </c>
      <c r="B52" s="334">
        <v>34.42</v>
      </c>
      <c r="C52" s="334"/>
      <c r="D52" s="334"/>
      <c r="E52" s="334"/>
      <c r="F52" s="334"/>
      <c r="G52" s="334"/>
    </row>
    <row r="53" spans="1:7" x14ac:dyDescent="0.25">
      <c r="A53" s="337">
        <v>29813</v>
      </c>
      <c r="B53" s="334">
        <v>33.770000000000003</v>
      </c>
      <c r="C53" s="334"/>
      <c r="D53" s="334"/>
      <c r="E53" s="334"/>
      <c r="F53" s="334"/>
      <c r="G53" s="334"/>
    </row>
    <row r="54" spans="1:7" x14ac:dyDescent="0.25">
      <c r="A54" s="337">
        <v>29844</v>
      </c>
      <c r="B54" s="334">
        <v>34.11</v>
      </c>
      <c r="C54" s="334"/>
      <c r="D54" s="334"/>
      <c r="E54" s="334"/>
      <c r="F54" s="334"/>
      <c r="G54" s="334"/>
    </row>
    <row r="55" spans="1:7" x14ac:dyDescent="0.25">
      <c r="A55" s="337">
        <v>29874</v>
      </c>
      <c r="B55" s="334">
        <v>34.1</v>
      </c>
      <c r="C55" s="334"/>
      <c r="D55" s="334"/>
      <c r="E55" s="334"/>
      <c r="F55" s="334"/>
      <c r="G55" s="334"/>
    </row>
    <row r="56" spans="1:7" x14ac:dyDescent="0.25">
      <c r="A56" s="337">
        <v>29905</v>
      </c>
      <c r="B56" s="334">
        <v>33.96</v>
      </c>
      <c r="C56" s="334"/>
      <c r="D56" s="334"/>
      <c r="E56" s="334"/>
      <c r="F56" s="334"/>
      <c r="G56" s="334"/>
    </row>
    <row r="57" spans="1:7" x14ac:dyDescent="0.25">
      <c r="A57" s="337">
        <v>29935</v>
      </c>
      <c r="B57" s="334">
        <v>34.119999999999997</v>
      </c>
      <c r="C57" s="334"/>
      <c r="D57" s="334"/>
      <c r="E57" s="334"/>
      <c r="F57" s="334"/>
      <c r="G57" s="334"/>
    </row>
    <row r="58" spans="1:7" x14ac:dyDescent="0.25">
      <c r="A58" s="337">
        <v>29966</v>
      </c>
      <c r="B58" s="334">
        <v>34.53</v>
      </c>
      <c r="C58" s="334"/>
      <c r="D58" s="334"/>
      <c r="E58" s="334"/>
      <c r="F58" s="334"/>
      <c r="G58" s="334"/>
    </row>
    <row r="59" spans="1:7" x14ac:dyDescent="0.25">
      <c r="A59" s="337">
        <v>29997</v>
      </c>
      <c r="B59" s="334">
        <v>33.049999999999997</v>
      </c>
      <c r="C59" s="334"/>
      <c r="D59" s="334"/>
      <c r="E59" s="334"/>
      <c r="F59" s="334"/>
      <c r="G59" s="334"/>
    </row>
    <row r="60" spans="1:7" x14ac:dyDescent="0.25">
      <c r="A60" s="337">
        <v>30025</v>
      </c>
      <c r="B60" s="334">
        <v>31.95</v>
      </c>
      <c r="C60" s="334"/>
      <c r="D60" s="334"/>
      <c r="E60" s="334"/>
      <c r="F60" s="334"/>
      <c r="G60" s="334"/>
    </row>
    <row r="61" spans="1:7" x14ac:dyDescent="0.25">
      <c r="A61" s="337">
        <v>30056</v>
      </c>
      <c r="B61" s="334">
        <v>31.05</v>
      </c>
      <c r="C61" s="334"/>
      <c r="D61" s="334"/>
      <c r="E61" s="334"/>
      <c r="F61" s="334"/>
      <c r="G61" s="334"/>
    </row>
    <row r="62" spans="1:7" x14ac:dyDescent="0.25">
      <c r="A62" s="337">
        <v>30086</v>
      </c>
      <c r="B62" s="334">
        <v>30.91</v>
      </c>
      <c r="C62" s="334"/>
      <c r="D62" s="334"/>
      <c r="E62" s="334"/>
      <c r="F62" s="334"/>
      <c r="G62" s="334"/>
    </row>
    <row r="63" spans="1:7" x14ac:dyDescent="0.25">
      <c r="A63" s="337">
        <v>30117</v>
      </c>
      <c r="B63" s="334">
        <v>31.09</v>
      </c>
      <c r="C63" s="334"/>
      <c r="D63" s="334"/>
      <c r="E63" s="334"/>
      <c r="F63" s="334"/>
      <c r="G63" s="334"/>
    </row>
    <row r="64" spans="1:7" x14ac:dyDescent="0.25">
      <c r="A64" s="337">
        <v>30147</v>
      </c>
      <c r="B64" s="334">
        <v>31.57</v>
      </c>
      <c r="C64" s="334"/>
      <c r="D64" s="334"/>
      <c r="E64" s="334"/>
      <c r="F64" s="334"/>
      <c r="G64" s="334"/>
    </row>
    <row r="65" spans="1:7" x14ac:dyDescent="0.25">
      <c r="A65" s="337">
        <v>30178</v>
      </c>
      <c r="B65" s="334">
        <v>31.04</v>
      </c>
      <c r="C65" s="334"/>
      <c r="D65" s="334"/>
      <c r="E65" s="334"/>
      <c r="F65" s="334"/>
      <c r="G65" s="334"/>
    </row>
    <row r="66" spans="1:7" x14ac:dyDescent="0.25">
      <c r="A66" s="337">
        <v>30209</v>
      </c>
      <c r="B66" s="334">
        <v>31.2</v>
      </c>
      <c r="C66" s="334"/>
      <c r="D66" s="334"/>
      <c r="E66" s="334"/>
      <c r="F66" s="334"/>
      <c r="G66" s="334"/>
    </row>
    <row r="67" spans="1:7" x14ac:dyDescent="0.25">
      <c r="A67" s="337">
        <v>30239</v>
      </c>
      <c r="B67" s="334">
        <v>31.96</v>
      </c>
      <c r="C67" s="334"/>
      <c r="D67" s="334"/>
      <c r="E67" s="334"/>
      <c r="F67" s="334"/>
      <c r="G67" s="334"/>
    </row>
    <row r="68" spans="1:7" x14ac:dyDescent="0.25">
      <c r="A68" s="337">
        <v>30270</v>
      </c>
      <c r="B68" s="334">
        <v>32.19</v>
      </c>
      <c r="C68" s="334"/>
      <c r="D68" s="334"/>
      <c r="E68" s="334"/>
      <c r="F68" s="334"/>
      <c r="G68" s="334"/>
    </row>
    <row r="69" spans="1:7" x14ac:dyDescent="0.25">
      <c r="A69" s="337">
        <v>30300</v>
      </c>
      <c r="B69" s="334">
        <v>31.48</v>
      </c>
      <c r="C69" s="334"/>
      <c r="D69" s="334"/>
      <c r="E69" s="334"/>
      <c r="F69" s="334"/>
      <c r="G69" s="334"/>
    </row>
    <row r="70" spans="1:7" x14ac:dyDescent="0.25">
      <c r="A70" s="337">
        <v>30331</v>
      </c>
      <c r="B70" s="334">
        <v>30.56</v>
      </c>
      <c r="C70" s="334"/>
      <c r="D70" s="334"/>
      <c r="E70" s="334"/>
      <c r="F70" s="334"/>
      <c r="G70" s="334"/>
    </row>
    <row r="71" spans="1:7" x14ac:dyDescent="0.25">
      <c r="A71" s="337">
        <v>30362</v>
      </c>
      <c r="B71" s="334">
        <v>29.76</v>
      </c>
      <c r="C71" s="334"/>
      <c r="D71" s="334"/>
      <c r="E71" s="334"/>
      <c r="F71" s="334"/>
      <c r="G71" s="334"/>
    </row>
    <row r="72" spans="1:7" x14ac:dyDescent="0.25">
      <c r="A72" s="337">
        <v>30390</v>
      </c>
      <c r="B72" s="334">
        <v>29.13</v>
      </c>
      <c r="C72" s="334"/>
      <c r="D72" s="334"/>
      <c r="E72" s="334"/>
      <c r="F72" s="334"/>
      <c r="G72" s="334"/>
    </row>
    <row r="73" spans="1:7" x14ac:dyDescent="0.25">
      <c r="A73" s="337">
        <v>30421</v>
      </c>
      <c r="B73" s="334">
        <v>28.98</v>
      </c>
      <c r="C73" s="334"/>
      <c r="D73" s="334"/>
      <c r="E73" s="334"/>
      <c r="F73" s="334"/>
      <c r="G73" s="334"/>
    </row>
    <row r="74" spans="1:7" x14ac:dyDescent="0.25">
      <c r="A74" s="337">
        <v>30451</v>
      </c>
      <c r="B74" s="334">
        <v>29.1</v>
      </c>
      <c r="C74" s="334"/>
      <c r="D74" s="334"/>
      <c r="E74" s="334"/>
      <c r="F74" s="334"/>
      <c r="G74" s="334"/>
    </row>
    <row r="75" spans="1:7" x14ac:dyDescent="0.25">
      <c r="A75" s="337">
        <v>30482</v>
      </c>
      <c r="B75" s="334">
        <v>29.01</v>
      </c>
      <c r="C75" s="334"/>
      <c r="D75" s="334"/>
      <c r="E75" s="334"/>
      <c r="F75" s="334"/>
      <c r="G75" s="334"/>
    </row>
    <row r="76" spans="1:7" x14ac:dyDescent="0.25">
      <c r="A76" s="337">
        <v>30512</v>
      </c>
      <c r="B76" s="334">
        <v>28.94</v>
      </c>
      <c r="C76" s="334"/>
      <c r="D76" s="334"/>
      <c r="E76" s="334"/>
      <c r="F76" s="334"/>
      <c r="G76" s="334"/>
    </row>
    <row r="77" spans="1:7" x14ac:dyDescent="0.25">
      <c r="A77" s="337">
        <v>30543</v>
      </c>
      <c r="B77" s="334">
        <v>29.03</v>
      </c>
      <c r="C77" s="334"/>
      <c r="D77" s="334"/>
      <c r="E77" s="334"/>
      <c r="F77" s="334"/>
      <c r="G77" s="334"/>
    </row>
    <row r="78" spans="1:7" x14ac:dyDescent="0.25">
      <c r="A78" s="337">
        <v>30574</v>
      </c>
      <c r="B78" s="334">
        <v>29.04</v>
      </c>
      <c r="C78" s="334"/>
      <c r="D78" s="334"/>
      <c r="E78" s="334"/>
      <c r="F78" s="334"/>
      <c r="G78" s="334"/>
    </row>
    <row r="79" spans="1:7" x14ac:dyDescent="0.25">
      <c r="A79" s="337">
        <v>30604</v>
      </c>
      <c r="B79" s="334">
        <v>29.25</v>
      </c>
      <c r="C79" s="334"/>
      <c r="D79" s="334"/>
      <c r="E79" s="334"/>
      <c r="F79" s="334"/>
      <c r="G79" s="334"/>
    </row>
    <row r="80" spans="1:7" x14ac:dyDescent="0.25">
      <c r="A80" s="337">
        <v>30635</v>
      </c>
      <c r="B80" s="334">
        <v>29.14</v>
      </c>
      <c r="C80" s="334"/>
      <c r="D80" s="334"/>
      <c r="E80" s="334"/>
      <c r="F80" s="334"/>
      <c r="G80" s="334"/>
    </row>
    <row r="81" spans="1:7" x14ac:dyDescent="0.25">
      <c r="A81" s="337">
        <v>30665</v>
      </c>
      <c r="B81" s="334">
        <v>29.11</v>
      </c>
      <c r="C81" s="334"/>
      <c r="D81" s="334"/>
      <c r="E81" s="334"/>
      <c r="F81" s="334"/>
      <c r="G81" s="334"/>
    </row>
    <row r="82" spans="1:7" x14ac:dyDescent="0.25">
      <c r="A82" s="337">
        <v>30696</v>
      </c>
      <c r="B82" s="334">
        <v>29.12</v>
      </c>
      <c r="C82" s="334"/>
      <c r="D82" s="334"/>
      <c r="E82" s="334"/>
      <c r="F82" s="334"/>
      <c r="G82" s="334"/>
    </row>
    <row r="83" spans="1:7" x14ac:dyDescent="0.25">
      <c r="A83" s="337">
        <v>30727</v>
      </c>
      <c r="B83" s="334">
        <v>29.1</v>
      </c>
      <c r="C83" s="334"/>
      <c r="D83" s="334"/>
      <c r="E83" s="334"/>
      <c r="F83" s="334"/>
      <c r="G83" s="334"/>
    </row>
    <row r="84" spans="1:7" x14ac:dyDescent="0.25">
      <c r="A84" s="337">
        <v>30756</v>
      </c>
      <c r="B84" s="334">
        <v>28.84</v>
      </c>
      <c r="C84" s="334"/>
      <c r="D84" s="334"/>
      <c r="E84" s="334"/>
      <c r="F84" s="334"/>
      <c r="G84" s="334"/>
    </row>
    <row r="85" spans="1:7" x14ac:dyDescent="0.25">
      <c r="A85" s="337">
        <v>30787</v>
      </c>
      <c r="B85" s="334">
        <v>29.25</v>
      </c>
      <c r="C85" s="334"/>
      <c r="D85" s="334"/>
      <c r="E85" s="334"/>
      <c r="F85" s="334"/>
      <c r="G85" s="334"/>
    </row>
    <row r="86" spans="1:7" x14ac:dyDescent="0.25">
      <c r="A86" s="337">
        <v>30817</v>
      </c>
      <c r="B86" s="334">
        <v>29.1</v>
      </c>
      <c r="C86" s="334"/>
      <c r="D86" s="334"/>
      <c r="E86" s="334"/>
      <c r="F86" s="334"/>
      <c r="G86" s="334"/>
    </row>
    <row r="87" spans="1:7" x14ac:dyDescent="0.25">
      <c r="A87" s="337">
        <v>30848</v>
      </c>
      <c r="B87" s="334">
        <v>29.06</v>
      </c>
      <c r="C87" s="334"/>
      <c r="D87" s="334"/>
      <c r="E87" s="334"/>
      <c r="F87" s="334"/>
      <c r="G87" s="334"/>
    </row>
    <row r="88" spans="1:7" x14ac:dyDescent="0.25">
      <c r="A88" s="337">
        <v>30878</v>
      </c>
      <c r="B88" s="334">
        <v>29.19</v>
      </c>
      <c r="C88" s="334"/>
      <c r="D88" s="334"/>
      <c r="E88" s="334"/>
      <c r="F88" s="334"/>
      <c r="G88" s="334"/>
    </row>
    <row r="89" spans="1:7" x14ac:dyDescent="0.25">
      <c r="A89" s="337">
        <v>30909</v>
      </c>
      <c r="B89" s="334">
        <v>28.49</v>
      </c>
      <c r="C89" s="334"/>
      <c r="D89" s="334"/>
      <c r="E89" s="334"/>
      <c r="F89" s="334"/>
      <c r="G89" s="334"/>
    </row>
    <row r="90" spans="1:7" x14ac:dyDescent="0.25">
      <c r="A90" s="337">
        <v>30940</v>
      </c>
      <c r="B90" s="334">
        <v>28.31</v>
      </c>
      <c r="C90" s="334"/>
      <c r="D90" s="334"/>
      <c r="E90" s="334"/>
      <c r="F90" s="334"/>
      <c r="G90" s="334"/>
    </row>
    <row r="91" spans="1:7" x14ac:dyDescent="0.25">
      <c r="A91" s="337">
        <v>30970</v>
      </c>
      <c r="B91" s="334">
        <v>28.43</v>
      </c>
      <c r="C91" s="334"/>
      <c r="D91" s="334"/>
      <c r="E91" s="334"/>
      <c r="F91" s="334"/>
      <c r="G91" s="334"/>
    </row>
    <row r="92" spans="1:7" x14ac:dyDescent="0.25">
      <c r="A92" s="337">
        <v>31001</v>
      </c>
      <c r="B92" s="334">
        <v>27.96</v>
      </c>
      <c r="C92" s="334"/>
      <c r="D92" s="334"/>
      <c r="E92" s="334"/>
      <c r="F92" s="334"/>
      <c r="G92" s="334"/>
    </row>
    <row r="93" spans="1:7" x14ac:dyDescent="0.25">
      <c r="A93" s="337">
        <v>31031</v>
      </c>
      <c r="B93" s="334">
        <v>27.56</v>
      </c>
      <c r="C93" s="334"/>
      <c r="D93" s="334"/>
      <c r="E93" s="334"/>
      <c r="F93" s="334"/>
      <c r="G93" s="334"/>
    </row>
    <row r="94" spans="1:7" x14ac:dyDescent="0.25">
      <c r="A94" s="337">
        <v>31062</v>
      </c>
      <c r="B94" s="334">
        <v>27.18</v>
      </c>
      <c r="C94" s="334"/>
      <c r="D94" s="334"/>
      <c r="E94" s="334"/>
      <c r="F94" s="334"/>
      <c r="G94" s="334"/>
    </row>
    <row r="95" spans="1:7" x14ac:dyDescent="0.25">
      <c r="A95" s="337">
        <v>31093</v>
      </c>
      <c r="B95" s="334">
        <v>26.1</v>
      </c>
      <c r="C95" s="334"/>
      <c r="D95" s="334"/>
      <c r="E95" s="334"/>
      <c r="F95" s="334"/>
      <c r="G95" s="334"/>
    </row>
    <row r="96" spans="1:7" x14ac:dyDescent="0.25">
      <c r="A96" s="337">
        <v>31121</v>
      </c>
      <c r="B96" s="334">
        <v>26.46</v>
      </c>
      <c r="C96" s="334"/>
      <c r="D96" s="334"/>
      <c r="E96" s="334"/>
      <c r="F96" s="334"/>
      <c r="G96" s="334"/>
    </row>
    <row r="97" spans="1:7" x14ac:dyDescent="0.25">
      <c r="A97" s="337">
        <v>31152</v>
      </c>
      <c r="B97" s="334">
        <v>26.84</v>
      </c>
      <c r="C97" s="334"/>
      <c r="D97" s="334"/>
      <c r="E97" s="334"/>
      <c r="F97" s="334"/>
      <c r="G97" s="334"/>
    </row>
    <row r="98" spans="1:7" x14ac:dyDescent="0.25">
      <c r="A98" s="337">
        <v>31182</v>
      </c>
      <c r="B98" s="334">
        <v>26.9</v>
      </c>
      <c r="C98" s="334"/>
      <c r="D98" s="334"/>
      <c r="E98" s="334"/>
      <c r="F98" s="334"/>
      <c r="G98" s="334"/>
    </row>
    <row r="99" spans="1:7" x14ac:dyDescent="0.25">
      <c r="A99" s="337">
        <v>31213</v>
      </c>
      <c r="B99" s="334">
        <v>26.82</v>
      </c>
      <c r="C99" s="334"/>
      <c r="D99" s="334"/>
      <c r="E99" s="334"/>
      <c r="F99" s="334"/>
      <c r="G99" s="334"/>
    </row>
    <row r="100" spans="1:7" x14ac:dyDescent="0.25">
      <c r="A100" s="337">
        <v>31243</v>
      </c>
      <c r="B100" s="334">
        <v>26.7</v>
      </c>
      <c r="C100" s="334"/>
      <c r="D100" s="334"/>
      <c r="E100" s="334"/>
      <c r="F100" s="334"/>
      <c r="G100" s="334"/>
    </row>
    <row r="101" spans="1:7" x14ac:dyDescent="0.25">
      <c r="A101" s="337">
        <v>31274</v>
      </c>
      <c r="B101" s="334">
        <v>26.71</v>
      </c>
      <c r="C101" s="334"/>
      <c r="D101" s="334"/>
      <c r="E101" s="334"/>
      <c r="F101" s="334"/>
      <c r="G101" s="334"/>
    </row>
    <row r="102" spans="1:7" x14ac:dyDescent="0.25">
      <c r="A102" s="337">
        <v>31305</v>
      </c>
      <c r="B102" s="334">
        <v>26.89</v>
      </c>
      <c r="C102" s="334"/>
      <c r="D102" s="334"/>
      <c r="E102" s="334"/>
      <c r="F102" s="334"/>
      <c r="G102" s="334"/>
    </row>
    <row r="103" spans="1:7" x14ac:dyDescent="0.25">
      <c r="A103" s="337">
        <v>31335</v>
      </c>
      <c r="B103" s="334">
        <v>26.97</v>
      </c>
      <c r="C103" s="334"/>
      <c r="D103" s="334"/>
      <c r="E103" s="334"/>
      <c r="F103" s="334"/>
      <c r="G103" s="334"/>
    </row>
    <row r="104" spans="1:7" x14ac:dyDescent="0.25">
      <c r="A104" s="337">
        <v>31366</v>
      </c>
      <c r="B104" s="334">
        <v>27.14</v>
      </c>
      <c r="C104" s="334"/>
      <c r="D104" s="334"/>
      <c r="E104" s="334"/>
      <c r="F104" s="334"/>
      <c r="G104" s="334"/>
    </row>
    <row r="105" spans="1:7" x14ac:dyDescent="0.25">
      <c r="A105" s="337">
        <v>31396</v>
      </c>
      <c r="B105" s="334">
        <v>27.35</v>
      </c>
      <c r="C105" s="334"/>
      <c r="D105" s="334"/>
      <c r="E105" s="334"/>
      <c r="F105" s="334"/>
      <c r="G105" s="334"/>
    </row>
    <row r="106" spans="1:7" x14ac:dyDescent="0.25">
      <c r="A106" s="337">
        <v>31427</v>
      </c>
      <c r="B106" s="334">
        <v>26.1</v>
      </c>
      <c r="C106" s="334"/>
      <c r="D106" s="334"/>
      <c r="E106" s="334"/>
      <c r="F106" s="334"/>
      <c r="G106" s="334"/>
    </row>
    <row r="107" spans="1:7" x14ac:dyDescent="0.25">
      <c r="A107" s="337">
        <v>31458</v>
      </c>
      <c r="B107" s="334">
        <v>20.2</v>
      </c>
      <c r="C107" s="334"/>
      <c r="D107" s="334"/>
      <c r="E107" s="334"/>
      <c r="F107" s="334"/>
      <c r="G107" s="334"/>
    </row>
    <row r="108" spans="1:7" x14ac:dyDescent="0.25">
      <c r="A108" s="337">
        <v>31486</v>
      </c>
      <c r="B108" s="334">
        <v>15.05</v>
      </c>
      <c r="C108" s="334"/>
      <c r="D108" s="334"/>
      <c r="E108" s="334"/>
      <c r="F108" s="334"/>
      <c r="G108" s="334"/>
    </row>
    <row r="109" spans="1:7" x14ac:dyDescent="0.25">
      <c r="A109" s="337">
        <v>31517</v>
      </c>
      <c r="B109" s="334">
        <v>12.92</v>
      </c>
      <c r="C109" s="334"/>
      <c r="D109" s="334"/>
      <c r="E109" s="334"/>
      <c r="F109" s="334"/>
      <c r="G109" s="334"/>
    </row>
    <row r="110" spans="1:7" x14ac:dyDescent="0.25">
      <c r="A110" s="337">
        <v>31547</v>
      </c>
      <c r="B110" s="334">
        <v>13.02</v>
      </c>
      <c r="C110" s="334"/>
      <c r="D110" s="334"/>
      <c r="E110" s="334"/>
      <c r="F110" s="334"/>
      <c r="G110" s="334"/>
    </row>
    <row r="111" spans="1:7" x14ac:dyDescent="0.25">
      <c r="A111" s="337">
        <v>31578</v>
      </c>
      <c r="B111" s="334">
        <v>13.28</v>
      </c>
      <c r="C111" s="334"/>
      <c r="D111" s="334"/>
      <c r="E111" s="334"/>
      <c r="F111" s="334"/>
      <c r="G111" s="334"/>
    </row>
    <row r="112" spans="1:7" x14ac:dyDescent="0.25">
      <c r="A112" s="337">
        <v>31608</v>
      </c>
      <c r="B112" s="334">
        <v>11.54</v>
      </c>
      <c r="C112" s="334"/>
      <c r="D112" s="334"/>
      <c r="E112" s="334"/>
      <c r="F112" s="334"/>
      <c r="G112" s="334"/>
    </row>
    <row r="113" spans="1:7" x14ac:dyDescent="0.25">
      <c r="A113" s="337">
        <v>31639</v>
      </c>
      <c r="B113" s="334">
        <v>12.09</v>
      </c>
      <c r="C113" s="334"/>
      <c r="D113" s="334"/>
      <c r="E113" s="334"/>
      <c r="F113" s="334"/>
      <c r="G113" s="334"/>
    </row>
    <row r="114" spans="1:7" x14ac:dyDescent="0.25">
      <c r="A114" s="337">
        <v>31670</v>
      </c>
      <c r="B114" s="334">
        <v>13.32</v>
      </c>
      <c r="C114" s="334"/>
      <c r="D114" s="334"/>
      <c r="E114" s="334"/>
      <c r="F114" s="334"/>
      <c r="G114" s="334"/>
    </row>
    <row r="115" spans="1:7" x14ac:dyDescent="0.25">
      <c r="A115" s="337">
        <v>31700</v>
      </c>
      <c r="B115" s="334">
        <v>13.28</v>
      </c>
      <c r="C115" s="334"/>
      <c r="D115" s="334"/>
      <c r="E115" s="334"/>
      <c r="F115" s="334"/>
      <c r="G115" s="334"/>
    </row>
    <row r="116" spans="1:7" x14ac:dyDescent="0.25">
      <c r="A116" s="337">
        <v>31731</v>
      </c>
      <c r="B116" s="334">
        <v>13.3</v>
      </c>
      <c r="C116" s="334"/>
      <c r="D116" s="334"/>
      <c r="E116" s="334"/>
      <c r="F116" s="334"/>
      <c r="G116" s="334"/>
    </row>
    <row r="117" spans="1:7" x14ac:dyDescent="0.25">
      <c r="A117" s="337">
        <v>31761</v>
      </c>
      <c r="B117" s="334">
        <v>13.72</v>
      </c>
      <c r="C117" s="334"/>
      <c r="D117" s="334"/>
      <c r="E117" s="334"/>
      <c r="F117" s="334"/>
      <c r="G117" s="334"/>
    </row>
    <row r="118" spans="1:7" x14ac:dyDescent="0.25">
      <c r="A118" s="337">
        <v>31792</v>
      </c>
      <c r="B118" s="334">
        <v>16.07</v>
      </c>
      <c r="C118" s="334"/>
      <c r="D118" s="334"/>
      <c r="E118" s="334"/>
      <c r="F118" s="334"/>
      <c r="G118" s="334"/>
    </row>
    <row r="119" spans="1:7" x14ac:dyDescent="0.25">
      <c r="A119" s="337">
        <v>31823</v>
      </c>
      <c r="B119" s="334">
        <v>16.600000000000001</v>
      </c>
      <c r="C119" s="334"/>
      <c r="D119" s="334"/>
      <c r="E119" s="334"/>
      <c r="F119" s="334"/>
      <c r="G119" s="334"/>
    </row>
    <row r="120" spans="1:7" x14ac:dyDescent="0.25">
      <c r="A120" s="337">
        <v>31851</v>
      </c>
      <c r="B120" s="334">
        <v>16.649999999999999</v>
      </c>
      <c r="C120" s="334"/>
      <c r="D120" s="334"/>
      <c r="E120" s="334"/>
      <c r="F120" s="334"/>
      <c r="G120" s="334"/>
    </row>
    <row r="121" spans="1:7" x14ac:dyDescent="0.25">
      <c r="A121" s="337">
        <v>31882</v>
      </c>
      <c r="B121" s="334">
        <v>16.809999999999999</v>
      </c>
      <c r="C121" s="334"/>
      <c r="D121" s="334"/>
      <c r="E121" s="334"/>
      <c r="F121" s="334"/>
      <c r="G121" s="334"/>
    </row>
    <row r="122" spans="1:7" x14ac:dyDescent="0.25">
      <c r="A122" s="337">
        <v>31912</v>
      </c>
      <c r="B122" s="334">
        <v>17.43</v>
      </c>
      <c r="C122" s="334"/>
      <c r="D122" s="334"/>
      <c r="E122" s="334"/>
      <c r="F122" s="334"/>
      <c r="G122" s="334"/>
    </row>
    <row r="123" spans="1:7" x14ac:dyDescent="0.25">
      <c r="A123" s="337">
        <v>31943</v>
      </c>
      <c r="B123" s="334">
        <v>18.04</v>
      </c>
      <c r="C123" s="334"/>
      <c r="D123" s="334"/>
      <c r="E123" s="334"/>
      <c r="F123" s="334"/>
      <c r="G123" s="334"/>
    </row>
    <row r="124" spans="1:7" x14ac:dyDescent="0.25">
      <c r="A124" s="337">
        <v>31973</v>
      </c>
      <c r="B124" s="334">
        <v>18.95</v>
      </c>
      <c r="C124" s="334"/>
      <c r="D124" s="334"/>
      <c r="E124" s="334"/>
      <c r="F124" s="334"/>
      <c r="G124" s="334"/>
    </row>
    <row r="125" spans="1:7" x14ac:dyDescent="0.25">
      <c r="A125" s="337">
        <v>32004</v>
      </c>
      <c r="B125" s="334">
        <v>19.13</v>
      </c>
      <c r="C125" s="334"/>
      <c r="D125" s="334"/>
      <c r="E125" s="334"/>
      <c r="F125" s="334"/>
      <c r="G125" s="334"/>
    </row>
    <row r="126" spans="1:7" x14ac:dyDescent="0.25">
      <c r="A126" s="337">
        <v>32035</v>
      </c>
      <c r="B126" s="334">
        <v>18.25</v>
      </c>
      <c r="C126" s="334"/>
      <c r="D126" s="334"/>
      <c r="E126" s="334"/>
      <c r="F126" s="334"/>
      <c r="G126" s="334"/>
    </row>
    <row r="127" spans="1:7" x14ac:dyDescent="0.25">
      <c r="A127" s="337">
        <v>32065</v>
      </c>
      <c r="B127" s="334">
        <v>18.16</v>
      </c>
      <c r="C127" s="334"/>
      <c r="D127" s="334"/>
      <c r="E127" s="334"/>
      <c r="F127" s="334"/>
      <c r="G127" s="334"/>
    </row>
    <row r="128" spans="1:7" x14ac:dyDescent="0.25">
      <c r="A128" s="337">
        <v>32096</v>
      </c>
      <c r="B128" s="334">
        <v>17.829999999999998</v>
      </c>
      <c r="C128" s="334"/>
      <c r="D128" s="334"/>
      <c r="E128" s="334"/>
      <c r="F128" s="334"/>
      <c r="G128" s="334"/>
    </row>
    <row r="129" spans="1:7" x14ac:dyDescent="0.25">
      <c r="A129" s="337">
        <v>32126</v>
      </c>
      <c r="B129" s="334">
        <v>16.8</v>
      </c>
      <c r="C129" s="334"/>
      <c r="D129" s="334"/>
      <c r="E129" s="334"/>
      <c r="F129" s="334"/>
      <c r="G129" s="334"/>
    </row>
    <row r="130" spans="1:7" x14ac:dyDescent="0.25">
      <c r="A130" s="337">
        <v>32157</v>
      </c>
      <c r="B130" s="334">
        <v>15.95</v>
      </c>
      <c r="C130" s="334"/>
      <c r="D130" s="334"/>
      <c r="E130" s="334"/>
      <c r="F130" s="334"/>
      <c r="G130" s="334"/>
    </row>
    <row r="131" spans="1:7" x14ac:dyDescent="0.25">
      <c r="A131" s="337">
        <v>32188</v>
      </c>
      <c r="B131" s="334">
        <v>15.77</v>
      </c>
      <c r="C131" s="334"/>
      <c r="D131" s="334"/>
      <c r="E131" s="334"/>
      <c r="F131" s="334"/>
      <c r="G131" s="334"/>
    </row>
    <row r="132" spans="1:7" x14ac:dyDescent="0.25">
      <c r="A132" s="337">
        <v>32217</v>
      </c>
      <c r="B132" s="334">
        <v>15.12</v>
      </c>
      <c r="C132" s="334"/>
      <c r="D132" s="334"/>
      <c r="E132" s="334"/>
      <c r="F132" s="334"/>
      <c r="G132" s="334"/>
    </row>
    <row r="133" spans="1:7" x14ac:dyDescent="0.25">
      <c r="A133" s="337">
        <v>32248</v>
      </c>
      <c r="B133" s="334">
        <v>16.100000000000001</v>
      </c>
      <c r="C133" s="334"/>
      <c r="D133" s="334"/>
      <c r="E133" s="334"/>
      <c r="F133" s="334"/>
      <c r="G133" s="334"/>
    </row>
    <row r="134" spans="1:7" x14ac:dyDescent="0.25">
      <c r="A134" s="337">
        <v>32278</v>
      </c>
      <c r="B134" s="334">
        <v>16.48</v>
      </c>
      <c r="C134" s="334"/>
      <c r="D134" s="334"/>
      <c r="E134" s="334"/>
      <c r="F134" s="334"/>
      <c r="G134" s="334"/>
    </row>
    <row r="135" spans="1:7" x14ac:dyDescent="0.25">
      <c r="A135" s="337">
        <v>32309</v>
      </c>
      <c r="B135" s="334">
        <v>15.82</v>
      </c>
      <c r="C135" s="334"/>
      <c r="D135" s="334"/>
      <c r="E135" s="334"/>
      <c r="F135" s="334"/>
      <c r="G135" s="334"/>
    </row>
    <row r="136" spans="1:7" x14ac:dyDescent="0.25">
      <c r="A136" s="337">
        <v>32339</v>
      </c>
      <c r="B136" s="334">
        <v>14.43</v>
      </c>
      <c r="C136" s="334"/>
      <c r="D136" s="334"/>
      <c r="E136" s="334"/>
      <c r="F136" s="334"/>
      <c r="G136" s="334"/>
    </row>
    <row r="137" spans="1:7" x14ac:dyDescent="0.25">
      <c r="A137" s="337">
        <v>32370</v>
      </c>
      <c r="B137" s="334">
        <v>14.29</v>
      </c>
      <c r="C137" s="334"/>
      <c r="D137" s="334"/>
      <c r="E137" s="334"/>
      <c r="F137" s="334"/>
      <c r="G137" s="334"/>
    </row>
    <row r="138" spans="1:7" x14ac:dyDescent="0.25">
      <c r="A138" s="337">
        <v>32401</v>
      </c>
      <c r="B138" s="334">
        <v>13.76</v>
      </c>
      <c r="C138" s="334"/>
      <c r="D138" s="334"/>
      <c r="E138" s="334"/>
      <c r="F138" s="334"/>
      <c r="G138" s="334"/>
    </row>
    <row r="139" spans="1:7" x14ac:dyDescent="0.25">
      <c r="A139" s="337">
        <v>32431</v>
      </c>
      <c r="B139" s="334">
        <v>12.81</v>
      </c>
      <c r="C139" s="334"/>
      <c r="D139" s="334"/>
      <c r="E139" s="334"/>
      <c r="F139" s="334"/>
      <c r="G139" s="334"/>
    </row>
    <row r="140" spans="1:7" x14ac:dyDescent="0.25">
      <c r="A140" s="337">
        <v>32462</v>
      </c>
      <c r="B140" s="334">
        <v>12.49</v>
      </c>
      <c r="C140" s="334"/>
      <c r="D140" s="334"/>
      <c r="E140" s="334"/>
      <c r="F140" s="334"/>
      <c r="G140" s="334"/>
    </row>
    <row r="141" spans="1:7" x14ac:dyDescent="0.25">
      <c r="A141" s="337">
        <v>32492</v>
      </c>
      <c r="B141" s="334">
        <v>14.13</v>
      </c>
      <c r="C141" s="334"/>
      <c r="D141" s="334"/>
      <c r="E141" s="334"/>
      <c r="F141" s="334"/>
      <c r="G141" s="334"/>
    </row>
    <row r="142" spans="1:7" x14ac:dyDescent="0.25">
      <c r="A142" s="337">
        <v>32523</v>
      </c>
      <c r="B142" s="334">
        <v>16.079999999999998</v>
      </c>
      <c r="C142" s="334"/>
      <c r="D142" s="334"/>
      <c r="E142" s="334"/>
      <c r="F142" s="334"/>
      <c r="G142" s="334"/>
    </row>
    <row r="143" spans="1:7" x14ac:dyDescent="0.25">
      <c r="A143" s="337">
        <v>32554</v>
      </c>
      <c r="B143" s="334">
        <v>16.25</v>
      </c>
      <c r="C143" s="334"/>
      <c r="D143" s="334"/>
      <c r="E143" s="334"/>
      <c r="F143" s="334"/>
      <c r="G143" s="334"/>
    </row>
    <row r="144" spans="1:7" x14ac:dyDescent="0.25">
      <c r="A144" s="337">
        <v>32582</v>
      </c>
      <c r="B144" s="334">
        <v>17.64</v>
      </c>
      <c r="C144" s="334"/>
      <c r="D144" s="334"/>
      <c r="E144" s="334"/>
      <c r="F144" s="334"/>
      <c r="G144" s="334"/>
    </row>
    <row r="145" spans="1:7" x14ac:dyDescent="0.25">
      <c r="A145" s="337">
        <v>32613</v>
      </c>
      <c r="B145" s="334">
        <v>18.95</v>
      </c>
      <c r="C145" s="334"/>
      <c r="D145" s="334"/>
      <c r="E145" s="334"/>
      <c r="F145" s="334"/>
      <c r="G145" s="334"/>
    </row>
    <row r="146" spans="1:7" x14ac:dyDescent="0.25">
      <c r="A146" s="337">
        <v>32643</v>
      </c>
      <c r="B146" s="334">
        <v>18.510000000000002</v>
      </c>
      <c r="C146" s="334"/>
      <c r="D146" s="334"/>
      <c r="E146" s="334"/>
      <c r="F146" s="334"/>
      <c r="G146" s="334"/>
    </row>
    <row r="147" spans="1:7" x14ac:dyDescent="0.25">
      <c r="A147" s="337">
        <v>32674</v>
      </c>
      <c r="B147" s="334">
        <v>18.36</v>
      </c>
      <c r="C147" s="334"/>
      <c r="D147" s="334"/>
      <c r="E147" s="334"/>
      <c r="F147" s="334"/>
      <c r="G147" s="334"/>
    </row>
    <row r="148" spans="1:7" x14ac:dyDescent="0.25">
      <c r="A148" s="337">
        <v>32704</v>
      </c>
      <c r="B148" s="334">
        <v>18.350000000000001</v>
      </c>
      <c r="C148" s="334"/>
      <c r="D148" s="334"/>
      <c r="E148" s="334"/>
      <c r="F148" s="334"/>
      <c r="G148" s="334"/>
    </row>
    <row r="149" spans="1:7" x14ac:dyDescent="0.25">
      <c r="A149" s="337">
        <v>32735</v>
      </c>
      <c r="B149" s="334">
        <v>16.920000000000002</v>
      </c>
      <c r="C149" s="334"/>
      <c r="D149" s="334"/>
      <c r="E149" s="334"/>
      <c r="F149" s="334"/>
      <c r="G149" s="334"/>
    </row>
    <row r="150" spans="1:7" x14ac:dyDescent="0.25">
      <c r="A150" s="337">
        <v>32766</v>
      </c>
      <c r="B150" s="334">
        <v>17.68</v>
      </c>
      <c r="C150" s="334"/>
      <c r="D150" s="334"/>
      <c r="E150" s="334"/>
      <c r="F150" s="334"/>
      <c r="G150" s="334"/>
    </row>
    <row r="151" spans="1:7" x14ac:dyDescent="0.25">
      <c r="A151" s="337">
        <v>32796</v>
      </c>
      <c r="B151" s="334">
        <v>18.329999999999998</v>
      </c>
      <c r="C151" s="334"/>
      <c r="D151" s="334"/>
      <c r="E151" s="334"/>
      <c r="F151" s="334"/>
      <c r="G151" s="334"/>
    </row>
    <row r="152" spans="1:7" x14ac:dyDescent="0.25">
      <c r="A152" s="337">
        <v>32827</v>
      </c>
      <c r="B152" s="334">
        <v>18.21</v>
      </c>
      <c r="C152" s="334"/>
      <c r="D152" s="334"/>
      <c r="E152" s="334"/>
      <c r="F152" s="334"/>
      <c r="G152" s="334"/>
    </row>
    <row r="153" spans="1:7" x14ac:dyDescent="0.25">
      <c r="A153" s="337">
        <v>32857</v>
      </c>
      <c r="B153" s="334">
        <v>19.03</v>
      </c>
      <c r="C153" s="334"/>
      <c r="D153" s="334"/>
      <c r="E153" s="334"/>
      <c r="F153" s="334"/>
      <c r="G153" s="334"/>
    </row>
    <row r="154" spans="1:7" x14ac:dyDescent="0.25">
      <c r="A154" s="337">
        <v>32888</v>
      </c>
      <c r="B154" s="334">
        <v>20.69</v>
      </c>
      <c r="C154" s="334"/>
      <c r="D154" s="334"/>
      <c r="E154" s="334"/>
      <c r="F154" s="334"/>
      <c r="G154" s="334"/>
    </row>
    <row r="155" spans="1:7" x14ac:dyDescent="0.25">
      <c r="A155" s="337">
        <v>32919</v>
      </c>
      <c r="B155" s="334">
        <v>20.25</v>
      </c>
      <c r="C155" s="334"/>
      <c r="D155" s="334"/>
      <c r="E155" s="334"/>
      <c r="F155" s="334"/>
      <c r="G155" s="334"/>
    </row>
    <row r="156" spans="1:7" x14ac:dyDescent="0.25">
      <c r="A156" s="337">
        <v>32947</v>
      </c>
      <c r="B156" s="334">
        <v>18.64</v>
      </c>
      <c r="C156" s="334"/>
      <c r="D156" s="334"/>
      <c r="E156" s="334"/>
      <c r="F156" s="334"/>
      <c r="G156" s="334"/>
    </row>
    <row r="157" spans="1:7" x14ac:dyDescent="0.25">
      <c r="A157" s="337">
        <v>32978</v>
      </c>
      <c r="B157" s="334">
        <v>16.72</v>
      </c>
      <c r="C157" s="334"/>
      <c r="D157" s="334"/>
      <c r="E157" s="334"/>
      <c r="F157" s="334"/>
      <c r="G157" s="334"/>
    </row>
    <row r="158" spans="1:7" x14ac:dyDescent="0.25">
      <c r="A158" s="337">
        <v>33008</v>
      </c>
      <c r="B158" s="334">
        <v>16.489999999999998</v>
      </c>
      <c r="C158" s="334"/>
      <c r="D158" s="334"/>
      <c r="E158" s="334"/>
      <c r="F158" s="334"/>
      <c r="G158" s="334"/>
    </row>
    <row r="159" spans="1:7" x14ac:dyDescent="0.25">
      <c r="A159" s="337">
        <v>33039</v>
      </c>
      <c r="B159" s="334">
        <v>15.07</v>
      </c>
      <c r="C159" s="334"/>
      <c r="D159" s="334"/>
      <c r="E159" s="334"/>
      <c r="F159" s="334"/>
      <c r="G159" s="334"/>
    </row>
    <row r="160" spans="1:7" x14ac:dyDescent="0.25">
      <c r="A160" s="337">
        <v>33069</v>
      </c>
      <c r="B160" s="334">
        <v>16.48</v>
      </c>
      <c r="C160" s="334"/>
      <c r="D160" s="334"/>
      <c r="E160" s="334"/>
      <c r="F160" s="334"/>
      <c r="G160" s="334"/>
    </row>
    <row r="161" spans="1:7" x14ac:dyDescent="0.25">
      <c r="A161" s="337">
        <v>33100</v>
      </c>
      <c r="B161" s="334">
        <v>24.71</v>
      </c>
      <c r="C161" s="334"/>
      <c r="D161" s="334"/>
      <c r="E161" s="334"/>
      <c r="F161" s="334"/>
      <c r="G161" s="334"/>
    </row>
    <row r="162" spans="1:7" x14ac:dyDescent="0.25">
      <c r="A162" s="337">
        <v>33131</v>
      </c>
      <c r="B162" s="334">
        <v>30.85</v>
      </c>
      <c r="C162" s="334"/>
      <c r="D162" s="334"/>
      <c r="E162" s="334"/>
      <c r="F162" s="334"/>
      <c r="G162" s="334"/>
    </row>
    <row r="163" spans="1:7" x14ac:dyDescent="0.25">
      <c r="A163" s="337">
        <v>33161</v>
      </c>
      <c r="B163" s="334">
        <v>33.97</v>
      </c>
      <c r="C163" s="334"/>
      <c r="D163" s="334"/>
      <c r="E163" s="334"/>
      <c r="F163" s="334"/>
      <c r="G163" s="334"/>
    </row>
    <row r="164" spans="1:7" x14ac:dyDescent="0.25">
      <c r="A164" s="337">
        <v>33192</v>
      </c>
      <c r="B164" s="334">
        <v>29.91</v>
      </c>
      <c r="C164" s="334"/>
      <c r="D164" s="334"/>
      <c r="E164" s="334"/>
      <c r="F164" s="334"/>
      <c r="G164" s="334"/>
    </row>
    <row r="165" spans="1:7" x14ac:dyDescent="0.25">
      <c r="A165" s="337">
        <v>33222</v>
      </c>
      <c r="B165" s="334">
        <v>25.19</v>
      </c>
      <c r="C165" s="334"/>
      <c r="D165" s="334"/>
      <c r="E165" s="334"/>
      <c r="F165" s="334"/>
      <c r="G165" s="334"/>
    </row>
    <row r="166" spans="1:7" x14ac:dyDescent="0.25">
      <c r="A166" s="337">
        <v>33253</v>
      </c>
      <c r="B166" s="334">
        <v>22.58</v>
      </c>
      <c r="C166" s="334"/>
      <c r="D166" s="334"/>
      <c r="E166" s="334"/>
      <c r="F166" s="334"/>
      <c r="G166" s="334"/>
    </row>
    <row r="167" spans="1:7" x14ac:dyDescent="0.25">
      <c r="A167" s="337">
        <v>33284</v>
      </c>
      <c r="B167" s="334">
        <v>18.78</v>
      </c>
      <c r="C167" s="334"/>
      <c r="D167" s="334"/>
      <c r="E167" s="334"/>
      <c r="F167" s="334"/>
      <c r="G167" s="334"/>
    </row>
    <row r="168" spans="1:7" x14ac:dyDescent="0.25">
      <c r="A168" s="337">
        <v>33312</v>
      </c>
      <c r="B168" s="334">
        <v>17.78</v>
      </c>
      <c r="C168" s="334"/>
      <c r="D168" s="334"/>
      <c r="E168" s="334"/>
      <c r="F168" s="334"/>
      <c r="G168" s="334"/>
    </row>
    <row r="169" spans="1:7" x14ac:dyDescent="0.25">
      <c r="A169" s="337">
        <v>33343</v>
      </c>
      <c r="B169" s="334">
        <v>18.63</v>
      </c>
      <c r="C169" s="334"/>
      <c r="D169" s="334"/>
      <c r="E169" s="334"/>
      <c r="F169" s="334"/>
      <c r="G169" s="334"/>
    </row>
    <row r="170" spans="1:7" x14ac:dyDescent="0.25">
      <c r="A170" s="337">
        <v>33373</v>
      </c>
      <c r="B170" s="334">
        <v>19.079999999999998</v>
      </c>
      <c r="C170" s="334"/>
      <c r="D170" s="334"/>
      <c r="E170" s="334"/>
      <c r="F170" s="334"/>
      <c r="G170" s="334"/>
    </row>
    <row r="171" spans="1:7" x14ac:dyDescent="0.25">
      <c r="A171" s="337">
        <v>33404</v>
      </c>
      <c r="B171" s="334">
        <v>18.12</v>
      </c>
      <c r="C171" s="334"/>
      <c r="D171" s="334"/>
      <c r="E171" s="334"/>
      <c r="F171" s="334"/>
      <c r="G171" s="334"/>
    </row>
    <row r="172" spans="1:7" x14ac:dyDescent="0.25">
      <c r="A172" s="337">
        <v>33434</v>
      </c>
      <c r="B172" s="334">
        <v>19.32</v>
      </c>
      <c r="C172" s="334"/>
      <c r="D172" s="334"/>
      <c r="E172" s="334"/>
      <c r="F172" s="334"/>
      <c r="G172" s="334"/>
    </row>
    <row r="173" spans="1:7" x14ac:dyDescent="0.25">
      <c r="A173" s="337">
        <v>33465</v>
      </c>
      <c r="B173" s="334">
        <v>19.36</v>
      </c>
      <c r="C173" s="334"/>
      <c r="D173" s="334"/>
      <c r="E173" s="334"/>
      <c r="F173" s="334"/>
      <c r="G173" s="334"/>
    </row>
    <row r="174" spans="1:7" x14ac:dyDescent="0.25">
      <c r="A174" s="337">
        <v>33496</v>
      </c>
      <c r="B174" s="334">
        <v>19.690000000000001</v>
      </c>
      <c r="C174" s="334"/>
      <c r="D174" s="334"/>
      <c r="E174" s="334"/>
      <c r="F174" s="334"/>
      <c r="G174" s="334"/>
    </row>
    <row r="175" spans="1:7" x14ac:dyDescent="0.25">
      <c r="A175" s="337">
        <v>33526</v>
      </c>
      <c r="B175" s="334">
        <v>20.98</v>
      </c>
      <c r="C175" s="334"/>
      <c r="D175" s="334"/>
      <c r="E175" s="334"/>
      <c r="F175" s="334"/>
      <c r="G175" s="334"/>
    </row>
    <row r="176" spans="1:7" x14ac:dyDescent="0.25">
      <c r="A176" s="337">
        <v>33557</v>
      </c>
      <c r="B176" s="334">
        <v>20.329999999999998</v>
      </c>
      <c r="C176" s="334"/>
      <c r="D176" s="334"/>
      <c r="E176" s="334"/>
      <c r="F176" s="334"/>
      <c r="G176" s="334"/>
    </row>
    <row r="177" spans="1:7" x14ac:dyDescent="0.25">
      <c r="A177" s="337">
        <v>33587</v>
      </c>
      <c r="B177" s="334">
        <v>17.54</v>
      </c>
      <c r="C177" s="334"/>
      <c r="D177" s="334"/>
      <c r="E177" s="334"/>
      <c r="F177" s="334"/>
      <c r="G177" s="334"/>
    </row>
    <row r="178" spans="1:7" x14ac:dyDescent="0.25">
      <c r="A178" s="337">
        <v>33618</v>
      </c>
      <c r="B178" s="334">
        <v>16.77</v>
      </c>
      <c r="C178" s="334"/>
      <c r="D178" s="334"/>
      <c r="E178" s="334"/>
      <c r="F178" s="334"/>
      <c r="G178" s="334"/>
    </row>
    <row r="179" spans="1:7" x14ac:dyDescent="0.25">
      <c r="A179" s="337">
        <v>33649</v>
      </c>
      <c r="B179" s="334">
        <v>16.86</v>
      </c>
      <c r="C179" s="334"/>
      <c r="D179" s="334"/>
      <c r="E179" s="334"/>
      <c r="F179" s="334"/>
      <c r="G179" s="334"/>
    </row>
    <row r="180" spans="1:7" x14ac:dyDescent="0.25">
      <c r="A180" s="337">
        <v>33678</v>
      </c>
      <c r="B180" s="334">
        <v>16.920000000000002</v>
      </c>
      <c r="C180" s="334"/>
      <c r="D180" s="334"/>
      <c r="E180" s="334"/>
      <c r="F180" s="334"/>
      <c r="G180" s="334"/>
    </row>
    <row r="181" spans="1:7" x14ac:dyDescent="0.25">
      <c r="A181" s="337">
        <v>33709</v>
      </c>
      <c r="B181" s="334">
        <v>18.309999999999999</v>
      </c>
      <c r="C181" s="334"/>
      <c r="D181" s="334"/>
      <c r="E181" s="334"/>
      <c r="F181" s="334"/>
      <c r="G181" s="334"/>
    </row>
    <row r="182" spans="1:7" x14ac:dyDescent="0.25">
      <c r="A182" s="337">
        <v>33739</v>
      </c>
      <c r="B182" s="334">
        <v>19.13</v>
      </c>
      <c r="C182" s="334"/>
      <c r="D182" s="334"/>
      <c r="E182" s="334"/>
      <c r="F182" s="334"/>
      <c r="G182" s="334"/>
    </row>
    <row r="183" spans="1:7" x14ac:dyDescent="0.25">
      <c r="A183" s="337">
        <v>33770</v>
      </c>
      <c r="B183" s="334">
        <v>20.53</v>
      </c>
      <c r="C183" s="334"/>
      <c r="D183" s="334"/>
      <c r="E183" s="334"/>
      <c r="F183" s="334"/>
      <c r="G183" s="334"/>
    </row>
    <row r="184" spans="1:7" x14ac:dyDescent="0.25">
      <c r="A184" s="337">
        <v>33800</v>
      </c>
      <c r="B184" s="334">
        <v>19.93</v>
      </c>
      <c r="C184" s="334"/>
      <c r="D184" s="334"/>
      <c r="E184" s="334"/>
      <c r="F184" s="334"/>
      <c r="G184" s="334"/>
    </row>
    <row r="185" spans="1:7" x14ac:dyDescent="0.25">
      <c r="A185" s="337">
        <v>33831</v>
      </c>
      <c r="B185" s="334">
        <v>19.25</v>
      </c>
      <c r="C185" s="334"/>
      <c r="D185" s="334"/>
      <c r="E185" s="334"/>
      <c r="F185" s="334"/>
      <c r="G185" s="334"/>
    </row>
    <row r="186" spans="1:7" x14ac:dyDescent="0.25">
      <c r="A186" s="337">
        <v>33862</v>
      </c>
      <c r="B186" s="334">
        <v>19.77</v>
      </c>
      <c r="C186" s="334"/>
      <c r="D186" s="334"/>
      <c r="E186" s="334"/>
      <c r="F186" s="334"/>
      <c r="G186" s="334"/>
    </row>
    <row r="187" spans="1:7" x14ac:dyDescent="0.25">
      <c r="A187" s="337">
        <v>33892</v>
      </c>
      <c r="B187" s="334">
        <v>19.61</v>
      </c>
      <c r="C187" s="334"/>
      <c r="D187" s="334"/>
      <c r="E187" s="334"/>
      <c r="F187" s="334"/>
      <c r="G187" s="334"/>
    </row>
    <row r="188" spans="1:7" x14ac:dyDescent="0.25">
      <c r="A188" s="337">
        <v>33923</v>
      </c>
      <c r="B188" s="334">
        <v>18.32</v>
      </c>
      <c r="C188" s="334"/>
      <c r="D188" s="334"/>
      <c r="E188" s="334"/>
      <c r="F188" s="334"/>
      <c r="G188" s="334"/>
    </row>
    <row r="189" spans="1:7" x14ac:dyDescent="0.25">
      <c r="A189" s="337">
        <v>33953</v>
      </c>
      <c r="B189" s="334">
        <v>17.39</v>
      </c>
      <c r="C189" s="334"/>
      <c r="D189" s="334"/>
      <c r="E189" s="334"/>
      <c r="F189" s="334"/>
      <c r="G189" s="334"/>
    </row>
    <row r="190" spans="1:7" x14ac:dyDescent="0.25">
      <c r="A190" s="337">
        <v>33984</v>
      </c>
      <c r="B190" s="334">
        <v>17.21</v>
      </c>
      <c r="C190" s="334"/>
      <c r="D190" s="334"/>
      <c r="E190" s="334"/>
      <c r="F190" s="334"/>
      <c r="G190" s="334"/>
    </row>
    <row r="191" spans="1:7" x14ac:dyDescent="0.25">
      <c r="A191" s="337">
        <v>34015</v>
      </c>
      <c r="B191" s="334">
        <v>18.2</v>
      </c>
      <c r="C191" s="334"/>
      <c r="D191" s="334"/>
      <c r="E191" s="334"/>
      <c r="F191" s="334"/>
      <c r="G191" s="334"/>
    </row>
    <row r="192" spans="1:7" x14ac:dyDescent="0.25">
      <c r="A192" s="337">
        <v>34043</v>
      </c>
      <c r="B192" s="334">
        <v>18.41</v>
      </c>
      <c r="C192" s="334"/>
      <c r="D192" s="334"/>
      <c r="E192" s="334"/>
      <c r="F192" s="334"/>
      <c r="G192" s="334"/>
    </row>
    <row r="193" spans="1:7" x14ac:dyDescent="0.25">
      <c r="A193" s="337">
        <v>34074</v>
      </c>
      <c r="B193" s="334">
        <v>18.239999999999998</v>
      </c>
      <c r="C193" s="334"/>
      <c r="D193" s="334"/>
      <c r="E193" s="334"/>
      <c r="F193" s="334"/>
      <c r="G193" s="334"/>
    </row>
    <row r="194" spans="1:7" x14ac:dyDescent="0.25">
      <c r="A194" s="337">
        <v>34104</v>
      </c>
      <c r="B194" s="334">
        <v>17.920000000000002</v>
      </c>
      <c r="C194" s="334"/>
      <c r="D194" s="334"/>
      <c r="E194" s="334"/>
      <c r="F194" s="334"/>
      <c r="G194" s="334"/>
    </row>
    <row r="195" spans="1:7" x14ac:dyDescent="0.25">
      <c r="A195" s="337">
        <v>34135</v>
      </c>
      <c r="B195" s="334">
        <v>16.97</v>
      </c>
      <c r="C195" s="334"/>
      <c r="D195" s="334"/>
      <c r="E195" s="334"/>
      <c r="F195" s="334"/>
      <c r="G195" s="334"/>
    </row>
    <row r="196" spans="1:7" x14ac:dyDescent="0.25">
      <c r="A196" s="337">
        <v>34165</v>
      </c>
      <c r="B196" s="334">
        <v>15.73</v>
      </c>
      <c r="C196" s="334"/>
      <c r="D196" s="334"/>
      <c r="E196" s="334"/>
      <c r="F196" s="334"/>
      <c r="G196" s="334"/>
    </row>
    <row r="197" spans="1:7" x14ac:dyDescent="0.25">
      <c r="A197" s="337">
        <v>34196</v>
      </c>
      <c r="B197" s="334">
        <v>15.89</v>
      </c>
      <c r="C197" s="334"/>
      <c r="D197" s="334"/>
      <c r="E197" s="334"/>
      <c r="F197" s="334"/>
      <c r="G197" s="334"/>
    </row>
    <row r="198" spans="1:7" x14ac:dyDescent="0.25">
      <c r="A198" s="337">
        <v>34227</v>
      </c>
      <c r="B198" s="334">
        <v>15.29</v>
      </c>
      <c r="C198" s="334"/>
      <c r="D198" s="334"/>
      <c r="E198" s="334"/>
      <c r="F198" s="334"/>
      <c r="G198" s="334"/>
    </row>
    <row r="199" spans="1:7" x14ac:dyDescent="0.25">
      <c r="A199" s="337">
        <v>34257</v>
      </c>
      <c r="B199" s="334">
        <v>15.9</v>
      </c>
      <c r="C199" s="334"/>
      <c r="D199" s="334"/>
      <c r="E199" s="334"/>
      <c r="F199" s="334"/>
      <c r="G199" s="334"/>
    </row>
    <row r="200" spans="1:7" x14ac:dyDescent="0.25">
      <c r="A200" s="337">
        <v>34288</v>
      </c>
      <c r="B200" s="334">
        <v>14.45</v>
      </c>
      <c r="C200" s="334"/>
      <c r="D200" s="334"/>
      <c r="E200" s="334"/>
      <c r="F200" s="334"/>
      <c r="G200" s="334"/>
    </row>
    <row r="201" spans="1:7" x14ac:dyDescent="0.25">
      <c r="A201" s="337">
        <v>34318</v>
      </c>
      <c r="B201" s="334">
        <v>12.29</v>
      </c>
      <c r="C201" s="334"/>
      <c r="D201" s="334"/>
      <c r="E201" s="334"/>
      <c r="F201" s="334"/>
      <c r="G201" s="334"/>
    </row>
    <row r="202" spans="1:7" x14ac:dyDescent="0.25">
      <c r="A202" s="337">
        <v>34349</v>
      </c>
      <c r="B202" s="334">
        <v>12.99</v>
      </c>
      <c r="C202" s="334"/>
      <c r="D202" s="334"/>
      <c r="E202" s="334"/>
      <c r="F202" s="334"/>
      <c r="G202" s="334"/>
    </row>
    <row r="203" spans="1:7" x14ac:dyDescent="0.25">
      <c r="A203" s="337">
        <v>34380</v>
      </c>
      <c r="B203" s="334">
        <v>12.85</v>
      </c>
      <c r="C203" s="334"/>
      <c r="D203" s="334"/>
      <c r="E203" s="334"/>
      <c r="F203" s="334"/>
      <c r="G203" s="334"/>
    </row>
    <row r="204" spans="1:7" x14ac:dyDescent="0.25">
      <c r="A204" s="337">
        <v>34408</v>
      </c>
      <c r="B204" s="334">
        <v>12.71</v>
      </c>
      <c r="C204" s="334"/>
      <c r="D204" s="334"/>
      <c r="E204" s="334"/>
      <c r="F204" s="334"/>
      <c r="G204" s="334"/>
    </row>
    <row r="205" spans="1:7" x14ac:dyDescent="0.25">
      <c r="A205" s="337">
        <v>34439</v>
      </c>
      <c r="B205" s="334">
        <v>14.34</v>
      </c>
      <c r="C205" s="334"/>
      <c r="D205" s="334"/>
      <c r="E205" s="334"/>
      <c r="F205" s="334"/>
      <c r="G205" s="334"/>
    </row>
    <row r="206" spans="1:7" x14ac:dyDescent="0.25">
      <c r="A206" s="337">
        <v>34469</v>
      </c>
      <c r="B206" s="334">
        <v>16.12</v>
      </c>
      <c r="C206" s="334"/>
      <c r="D206" s="334"/>
      <c r="E206" s="334"/>
      <c r="F206" s="334"/>
      <c r="G206" s="334"/>
    </row>
    <row r="207" spans="1:7" x14ac:dyDescent="0.25">
      <c r="A207" s="337">
        <v>34500</v>
      </c>
      <c r="B207" s="334">
        <v>17.329999999999998</v>
      </c>
      <c r="C207" s="334"/>
      <c r="D207" s="334"/>
      <c r="E207" s="334"/>
      <c r="F207" s="334"/>
      <c r="G207" s="334"/>
    </row>
    <row r="208" spans="1:7" x14ac:dyDescent="0.25">
      <c r="A208" s="337">
        <v>34530</v>
      </c>
      <c r="B208" s="334">
        <v>17.920000000000002</v>
      </c>
      <c r="C208" s="334"/>
      <c r="D208" s="334"/>
      <c r="E208" s="334"/>
      <c r="F208" s="334"/>
      <c r="G208" s="334"/>
    </row>
    <row r="209" spans="1:7" x14ac:dyDescent="0.25">
      <c r="A209" s="337">
        <v>34561</v>
      </c>
      <c r="B209" s="334">
        <v>16.559999999999999</v>
      </c>
      <c r="C209" s="334"/>
      <c r="D209" s="334"/>
      <c r="E209" s="334"/>
      <c r="F209" s="334"/>
      <c r="G209" s="334"/>
    </row>
    <row r="210" spans="1:7" x14ac:dyDescent="0.25">
      <c r="A210" s="337">
        <v>34592</v>
      </c>
      <c r="B210" s="334">
        <v>15.62</v>
      </c>
      <c r="C210" s="334"/>
      <c r="D210" s="334"/>
      <c r="E210" s="334"/>
      <c r="F210" s="334"/>
      <c r="G210" s="334"/>
    </row>
    <row r="211" spans="1:7" x14ac:dyDescent="0.25">
      <c r="A211" s="337">
        <v>34622</v>
      </c>
      <c r="B211" s="334">
        <v>15.94</v>
      </c>
      <c r="C211" s="334"/>
      <c r="D211" s="334"/>
      <c r="E211" s="334"/>
      <c r="F211" s="334"/>
      <c r="G211" s="334"/>
    </row>
    <row r="212" spans="1:7" x14ac:dyDescent="0.25">
      <c r="A212" s="337">
        <v>34653</v>
      </c>
      <c r="B212" s="334">
        <v>16.3</v>
      </c>
      <c r="C212" s="334"/>
      <c r="D212" s="334"/>
      <c r="E212" s="334"/>
      <c r="F212" s="334"/>
      <c r="G212" s="334"/>
    </row>
    <row r="213" spans="1:7" x14ac:dyDescent="0.25">
      <c r="A213" s="337">
        <v>34683</v>
      </c>
      <c r="B213" s="334">
        <v>15.4</v>
      </c>
      <c r="C213" s="334"/>
      <c r="D213" s="334"/>
      <c r="E213" s="334"/>
      <c r="F213" s="334"/>
      <c r="G213" s="334"/>
    </row>
    <row r="214" spans="1:7" x14ac:dyDescent="0.25">
      <c r="A214" s="337">
        <v>34714</v>
      </c>
      <c r="B214" s="334">
        <v>16.25</v>
      </c>
      <c r="C214" s="334"/>
      <c r="D214" s="334"/>
      <c r="E214" s="334"/>
      <c r="F214" s="334"/>
      <c r="G214" s="334"/>
    </row>
    <row r="215" spans="1:7" x14ac:dyDescent="0.25">
      <c r="A215" s="337">
        <v>34745</v>
      </c>
      <c r="B215" s="334">
        <v>16.940000000000001</v>
      </c>
      <c r="C215" s="334"/>
      <c r="D215" s="334"/>
      <c r="E215" s="334"/>
      <c r="F215" s="334"/>
      <c r="G215" s="334"/>
    </row>
    <row r="216" spans="1:7" x14ac:dyDescent="0.25">
      <c r="A216" s="337">
        <v>34773</v>
      </c>
      <c r="B216" s="334">
        <v>16.75</v>
      </c>
      <c r="C216" s="334"/>
      <c r="D216" s="334"/>
      <c r="E216" s="334"/>
      <c r="F216" s="334"/>
      <c r="G216" s="334"/>
    </row>
    <row r="217" spans="1:7" x14ac:dyDescent="0.25">
      <c r="A217" s="337">
        <v>34804</v>
      </c>
      <c r="B217" s="334">
        <v>18.079999999999998</v>
      </c>
      <c r="C217" s="334"/>
      <c r="D217" s="334"/>
      <c r="E217" s="334"/>
      <c r="F217" s="334"/>
      <c r="G217" s="334"/>
    </row>
    <row r="218" spans="1:7" x14ac:dyDescent="0.25">
      <c r="A218" s="337">
        <v>34834</v>
      </c>
      <c r="B218" s="334">
        <v>17.97</v>
      </c>
      <c r="C218" s="334"/>
      <c r="D218" s="334"/>
      <c r="E218" s="334"/>
      <c r="F218" s="334"/>
      <c r="G218" s="334"/>
    </row>
    <row r="219" spans="1:7" x14ac:dyDescent="0.25">
      <c r="A219" s="337">
        <v>34865</v>
      </c>
      <c r="B219" s="334">
        <v>16.78</v>
      </c>
      <c r="C219" s="334"/>
      <c r="D219" s="334"/>
      <c r="E219" s="334"/>
      <c r="F219" s="334"/>
      <c r="G219" s="334"/>
    </row>
    <row r="220" spans="1:7" x14ac:dyDescent="0.25">
      <c r="A220" s="337">
        <v>34895</v>
      </c>
      <c r="B220" s="334">
        <v>15.59</v>
      </c>
      <c r="C220" s="334"/>
      <c r="D220" s="334"/>
      <c r="E220" s="334"/>
      <c r="F220" s="334"/>
      <c r="G220" s="334"/>
    </row>
    <row r="221" spans="1:7" x14ac:dyDescent="0.25">
      <c r="A221" s="337">
        <v>34926</v>
      </c>
      <c r="B221" s="334">
        <v>16.32</v>
      </c>
      <c r="C221" s="334"/>
      <c r="D221" s="334"/>
      <c r="E221" s="334"/>
      <c r="F221" s="334"/>
      <c r="G221" s="334"/>
    </row>
    <row r="222" spans="1:7" x14ac:dyDescent="0.25">
      <c r="A222" s="337">
        <v>34957</v>
      </c>
      <c r="B222" s="334">
        <v>16.59</v>
      </c>
      <c r="C222" s="334"/>
      <c r="D222" s="334"/>
      <c r="E222" s="334"/>
      <c r="F222" s="334"/>
      <c r="G222" s="334"/>
    </row>
    <row r="223" spans="1:7" x14ac:dyDescent="0.25">
      <c r="A223" s="337">
        <v>34987</v>
      </c>
      <c r="B223" s="334">
        <v>15.75</v>
      </c>
      <c r="C223" s="334"/>
      <c r="D223" s="334"/>
      <c r="E223" s="334"/>
      <c r="F223" s="334"/>
      <c r="G223" s="334"/>
    </row>
    <row r="224" spans="1:7" x14ac:dyDescent="0.25">
      <c r="A224" s="337">
        <v>35018</v>
      </c>
      <c r="B224" s="334">
        <v>16.38</v>
      </c>
      <c r="C224" s="334"/>
      <c r="D224" s="334"/>
      <c r="E224" s="334"/>
      <c r="F224" s="334"/>
      <c r="G224" s="334"/>
    </row>
    <row r="225" spans="1:7" x14ac:dyDescent="0.25">
      <c r="A225" s="337">
        <v>35048</v>
      </c>
      <c r="B225" s="334">
        <v>17.559999999999999</v>
      </c>
      <c r="C225" s="334"/>
      <c r="D225" s="334"/>
      <c r="E225" s="334"/>
      <c r="F225" s="334"/>
      <c r="G225" s="334"/>
    </row>
    <row r="226" spans="1:7" x14ac:dyDescent="0.25">
      <c r="A226" s="337">
        <v>35079</v>
      </c>
      <c r="B226" s="334">
        <v>17.38</v>
      </c>
      <c r="C226" s="334"/>
      <c r="D226" s="334"/>
      <c r="E226" s="334"/>
      <c r="F226" s="334"/>
      <c r="G226" s="334"/>
    </row>
    <row r="227" spans="1:7" x14ac:dyDescent="0.25">
      <c r="A227" s="337">
        <v>35110</v>
      </c>
      <c r="B227" s="334">
        <v>17.3</v>
      </c>
      <c r="C227" s="334"/>
      <c r="D227" s="334"/>
      <c r="E227" s="334"/>
      <c r="F227" s="334"/>
      <c r="G227" s="334"/>
    </row>
    <row r="228" spans="1:7" x14ac:dyDescent="0.25">
      <c r="A228" s="337">
        <v>35139</v>
      </c>
      <c r="B228" s="334">
        <v>19.78</v>
      </c>
      <c r="C228" s="334"/>
      <c r="D228" s="334"/>
      <c r="E228" s="334"/>
      <c r="F228" s="334"/>
      <c r="G228" s="334"/>
    </row>
    <row r="229" spans="1:7" x14ac:dyDescent="0.25">
      <c r="A229" s="337">
        <v>35170</v>
      </c>
      <c r="B229" s="334">
        <v>21.94</v>
      </c>
      <c r="C229" s="334"/>
      <c r="D229" s="334"/>
      <c r="E229" s="334"/>
      <c r="F229" s="334"/>
      <c r="G229" s="334"/>
    </row>
    <row r="230" spans="1:7" x14ac:dyDescent="0.25">
      <c r="A230" s="337">
        <v>35200</v>
      </c>
      <c r="B230" s="334">
        <v>20.16</v>
      </c>
      <c r="C230" s="334"/>
      <c r="D230" s="334"/>
      <c r="E230" s="334"/>
      <c r="F230" s="334"/>
      <c r="G230" s="334"/>
    </row>
    <row r="231" spans="1:7" x14ac:dyDescent="0.25">
      <c r="A231" s="337">
        <v>35231</v>
      </c>
      <c r="B231" s="334">
        <v>19.29</v>
      </c>
      <c r="C231" s="334"/>
      <c r="D231" s="334"/>
      <c r="E231" s="334"/>
      <c r="F231" s="334"/>
      <c r="G231" s="334"/>
    </row>
    <row r="232" spans="1:7" x14ac:dyDescent="0.25">
      <c r="A232" s="337">
        <v>35261</v>
      </c>
      <c r="B232" s="334">
        <v>20.149999999999999</v>
      </c>
      <c r="C232" s="334"/>
      <c r="D232" s="334"/>
      <c r="E232" s="334"/>
      <c r="F232" s="334"/>
      <c r="G232" s="334"/>
    </row>
    <row r="233" spans="1:7" x14ac:dyDescent="0.25">
      <c r="A233" s="337">
        <v>35292</v>
      </c>
      <c r="B233" s="334">
        <v>20.76</v>
      </c>
      <c r="C233" s="334"/>
      <c r="D233" s="334"/>
      <c r="E233" s="334"/>
      <c r="F233" s="334"/>
      <c r="G233" s="334"/>
    </row>
    <row r="234" spans="1:7" x14ac:dyDescent="0.25">
      <c r="A234" s="337">
        <v>35323</v>
      </c>
      <c r="B234" s="334">
        <v>22.62</v>
      </c>
      <c r="C234" s="334"/>
      <c r="D234" s="334"/>
      <c r="E234" s="334"/>
      <c r="F234" s="334"/>
      <c r="G234" s="334"/>
    </row>
    <row r="235" spans="1:7" x14ac:dyDescent="0.25">
      <c r="A235" s="337">
        <v>35353</v>
      </c>
      <c r="B235" s="334">
        <v>23.82</v>
      </c>
      <c r="C235" s="334"/>
      <c r="D235" s="334"/>
      <c r="E235" s="334"/>
      <c r="F235" s="334"/>
      <c r="G235" s="334"/>
    </row>
    <row r="236" spans="1:7" x14ac:dyDescent="0.25">
      <c r="A236" s="337">
        <v>35384</v>
      </c>
      <c r="B236" s="334">
        <v>22.53</v>
      </c>
      <c r="C236" s="334"/>
      <c r="D236" s="334"/>
      <c r="E236" s="334"/>
      <c r="F236" s="334"/>
      <c r="G236" s="334"/>
    </row>
    <row r="237" spans="1:7" x14ac:dyDescent="0.25">
      <c r="A237" s="337">
        <v>35414</v>
      </c>
      <c r="B237" s="334">
        <v>23.74</v>
      </c>
      <c r="C237" s="334"/>
      <c r="D237" s="334"/>
      <c r="E237" s="334"/>
      <c r="F237" s="334"/>
      <c r="G237" s="334"/>
    </row>
    <row r="238" spans="1:7" x14ac:dyDescent="0.25">
      <c r="A238" s="337">
        <v>35445</v>
      </c>
      <c r="B238" s="334">
        <v>23.96</v>
      </c>
      <c r="C238" s="334"/>
      <c r="D238" s="334"/>
      <c r="E238" s="334"/>
      <c r="F238" s="334"/>
      <c r="G238" s="334"/>
    </row>
    <row r="239" spans="1:7" x14ac:dyDescent="0.25">
      <c r="A239" s="337">
        <v>35476</v>
      </c>
      <c r="B239" s="334">
        <v>21.02</v>
      </c>
      <c r="C239" s="334"/>
      <c r="D239" s="334"/>
      <c r="E239" s="334"/>
      <c r="F239" s="334"/>
      <c r="G239" s="334"/>
    </row>
    <row r="240" spans="1:7" x14ac:dyDescent="0.25">
      <c r="A240" s="337">
        <v>35504</v>
      </c>
      <c r="B240" s="334">
        <v>19.45</v>
      </c>
      <c r="C240" s="334"/>
      <c r="D240" s="334"/>
      <c r="E240" s="334"/>
      <c r="F240" s="334"/>
      <c r="G240" s="334"/>
    </row>
    <row r="241" spans="1:7" x14ac:dyDescent="0.25">
      <c r="A241" s="337">
        <v>35535</v>
      </c>
      <c r="B241" s="334">
        <v>18.399999999999999</v>
      </c>
      <c r="C241" s="334"/>
      <c r="D241" s="334"/>
      <c r="E241" s="334"/>
      <c r="F241" s="334"/>
      <c r="G241" s="334"/>
    </row>
    <row r="242" spans="1:7" x14ac:dyDescent="0.25">
      <c r="A242" s="337">
        <v>35565</v>
      </c>
      <c r="B242" s="334">
        <v>19.260000000000002</v>
      </c>
      <c r="C242" s="334"/>
      <c r="D242" s="334"/>
      <c r="E242" s="334"/>
      <c r="F242" s="334"/>
      <c r="G242" s="334"/>
    </row>
    <row r="243" spans="1:7" x14ac:dyDescent="0.25">
      <c r="A243" s="337">
        <v>35596</v>
      </c>
      <c r="B243" s="334">
        <v>17.600000000000001</v>
      </c>
      <c r="C243" s="334"/>
      <c r="D243" s="334"/>
      <c r="E243" s="334"/>
      <c r="F243" s="334"/>
      <c r="G243" s="334"/>
    </row>
    <row r="244" spans="1:7" x14ac:dyDescent="0.25">
      <c r="A244" s="337">
        <v>35626</v>
      </c>
      <c r="B244" s="334">
        <v>17.89</v>
      </c>
      <c r="C244" s="334"/>
      <c r="D244" s="334"/>
      <c r="E244" s="334"/>
      <c r="F244" s="334"/>
      <c r="G244" s="334"/>
    </row>
    <row r="245" spans="1:7" x14ac:dyDescent="0.25">
      <c r="A245" s="337">
        <v>35657</v>
      </c>
      <c r="B245" s="334">
        <v>18.13</v>
      </c>
      <c r="C245" s="334"/>
      <c r="D245" s="334"/>
      <c r="E245" s="334"/>
      <c r="F245" s="334"/>
      <c r="G245" s="334"/>
    </row>
    <row r="246" spans="1:7" x14ac:dyDescent="0.25">
      <c r="A246" s="337">
        <v>35688</v>
      </c>
      <c r="B246" s="334">
        <v>18.010000000000002</v>
      </c>
      <c r="C246" s="334"/>
      <c r="D246" s="334"/>
      <c r="E246" s="334"/>
      <c r="F246" s="334"/>
      <c r="G246" s="334"/>
    </row>
    <row r="247" spans="1:7" x14ac:dyDescent="0.25">
      <c r="A247" s="337">
        <v>35718</v>
      </c>
      <c r="B247" s="334">
        <v>19.510000000000002</v>
      </c>
      <c r="C247" s="334"/>
      <c r="D247" s="334"/>
      <c r="E247" s="334"/>
      <c r="F247" s="334"/>
      <c r="G247" s="334"/>
    </row>
    <row r="248" spans="1:7" x14ac:dyDescent="0.25">
      <c r="A248" s="337">
        <v>35749</v>
      </c>
      <c r="B248" s="334">
        <v>18.510000000000002</v>
      </c>
      <c r="C248" s="334"/>
      <c r="D248" s="334"/>
      <c r="E248" s="334"/>
      <c r="F248" s="334"/>
      <c r="G248" s="334"/>
    </row>
    <row r="249" spans="1:7" x14ac:dyDescent="0.25">
      <c r="A249" s="337">
        <v>35779</v>
      </c>
      <c r="B249" s="334">
        <v>16.57</v>
      </c>
      <c r="C249" s="334"/>
      <c r="D249" s="334"/>
      <c r="E249" s="334"/>
      <c r="F249" s="334"/>
      <c r="G249" s="334"/>
    </row>
    <row r="250" spans="1:7" x14ac:dyDescent="0.25">
      <c r="A250" s="337">
        <v>35810</v>
      </c>
      <c r="B250" s="334">
        <v>14.9</v>
      </c>
      <c r="C250" s="334"/>
      <c r="D250" s="334"/>
      <c r="E250" s="334"/>
      <c r="F250" s="334"/>
      <c r="G250" s="334"/>
    </row>
    <row r="251" spans="1:7" x14ac:dyDescent="0.25">
      <c r="A251" s="337">
        <v>35841</v>
      </c>
      <c r="B251" s="334">
        <v>14.16</v>
      </c>
      <c r="C251" s="334"/>
      <c r="D251" s="334"/>
      <c r="E251" s="334"/>
      <c r="F251" s="334"/>
      <c r="G251" s="334"/>
    </row>
    <row r="252" spans="1:7" x14ac:dyDescent="0.25">
      <c r="A252" s="337">
        <v>35869</v>
      </c>
      <c r="B252" s="334">
        <v>13.08</v>
      </c>
      <c r="C252" s="334"/>
      <c r="D252" s="334"/>
      <c r="E252" s="334"/>
      <c r="F252" s="334"/>
      <c r="G252" s="334"/>
    </row>
    <row r="253" spans="1:7" x14ac:dyDescent="0.25">
      <c r="A253" s="337">
        <v>35900</v>
      </c>
      <c r="B253" s="334">
        <v>13.33</v>
      </c>
      <c r="C253" s="334"/>
      <c r="D253" s="334"/>
      <c r="E253" s="334"/>
      <c r="F253" s="334"/>
      <c r="G253" s="334"/>
    </row>
    <row r="254" spans="1:7" x14ac:dyDescent="0.25">
      <c r="A254" s="337">
        <v>35930</v>
      </c>
      <c r="B254" s="334">
        <v>12.76</v>
      </c>
      <c r="C254" s="334"/>
      <c r="D254" s="334"/>
      <c r="E254" s="334"/>
      <c r="F254" s="334"/>
      <c r="G254" s="334"/>
    </row>
    <row r="255" spans="1:7" x14ac:dyDescent="0.25">
      <c r="A255" s="337">
        <v>35961</v>
      </c>
      <c r="B255" s="334">
        <v>11.26</v>
      </c>
      <c r="C255" s="334"/>
      <c r="D255" s="334"/>
      <c r="E255" s="334"/>
      <c r="F255" s="334"/>
      <c r="G255" s="334"/>
    </row>
    <row r="256" spans="1:7" x14ac:dyDescent="0.25">
      <c r="A256" s="337">
        <v>35991</v>
      </c>
      <c r="B256" s="334">
        <v>11.66</v>
      </c>
      <c r="C256" s="334"/>
      <c r="D256" s="334"/>
      <c r="E256" s="334"/>
      <c r="F256" s="334"/>
      <c r="G256" s="334"/>
    </row>
    <row r="257" spans="1:7" x14ac:dyDescent="0.25">
      <c r="A257" s="337">
        <v>36022</v>
      </c>
      <c r="B257" s="334">
        <v>11.28</v>
      </c>
      <c r="C257" s="334"/>
      <c r="D257" s="334"/>
      <c r="E257" s="334"/>
      <c r="F257" s="334"/>
      <c r="G257" s="334"/>
    </row>
    <row r="258" spans="1:7" x14ac:dyDescent="0.25">
      <c r="A258" s="337">
        <v>36053</v>
      </c>
      <c r="B258" s="334">
        <v>12.77</v>
      </c>
      <c r="C258" s="334"/>
      <c r="D258" s="334"/>
      <c r="E258" s="334"/>
      <c r="F258" s="334"/>
      <c r="G258" s="334"/>
    </row>
    <row r="259" spans="1:7" x14ac:dyDescent="0.25">
      <c r="A259" s="337">
        <v>36083</v>
      </c>
      <c r="B259" s="334">
        <v>12.4</v>
      </c>
      <c r="C259" s="334"/>
      <c r="D259" s="334"/>
      <c r="E259" s="334"/>
      <c r="F259" s="334"/>
      <c r="G259" s="334"/>
    </row>
    <row r="260" spans="1:7" x14ac:dyDescent="0.25">
      <c r="A260" s="337">
        <v>36114</v>
      </c>
      <c r="B260" s="334">
        <v>10.89</v>
      </c>
      <c r="C260" s="334"/>
      <c r="D260" s="334"/>
      <c r="E260" s="334"/>
      <c r="F260" s="334"/>
      <c r="G260" s="334"/>
    </row>
    <row r="261" spans="1:7" x14ac:dyDescent="0.25">
      <c r="A261" s="337">
        <v>36144</v>
      </c>
      <c r="B261" s="334">
        <v>9.08</v>
      </c>
      <c r="C261" s="334"/>
      <c r="D261" s="334"/>
      <c r="E261" s="334"/>
      <c r="F261" s="334"/>
      <c r="G261" s="334"/>
    </row>
    <row r="262" spans="1:7" x14ac:dyDescent="0.25">
      <c r="A262" s="337">
        <v>36175</v>
      </c>
      <c r="B262" s="334">
        <v>10.34</v>
      </c>
      <c r="C262" s="334"/>
      <c r="D262" s="334"/>
      <c r="E262" s="334"/>
      <c r="F262" s="334"/>
      <c r="G262" s="334"/>
    </row>
    <row r="263" spans="1:7" x14ac:dyDescent="0.25">
      <c r="A263" s="337">
        <v>36206</v>
      </c>
      <c r="B263" s="334">
        <v>9.99</v>
      </c>
      <c r="C263" s="334"/>
      <c r="D263" s="334"/>
      <c r="E263" s="334"/>
      <c r="F263" s="334"/>
      <c r="G263" s="334"/>
    </row>
    <row r="264" spans="1:7" x14ac:dyDescent="0.25">
      <c r="A264" s="337">
        <v>36234</v>
      </c>
      <c r="B264" s="334">
        <v>12.61</v>
      </c>
      <c r="C264" s="334"/>
      <c r="D264" s="334"/>
      <c r="E264" s="334"/>
      <c r="F264" s="334"/>
      <c r="G264" s="334"/>
    </row>
    <row r="265" spans="1:7" x14ac:dyDescent="0.25">
      <c r="A265" s="337">
        <v>36265</v>
      </c>
      <c r="B265" s="334">
        <v>14.98</v>
      </c>
      <c r="C265" s="334"/>
      <c r="D265" s="334"/>
      <c r="E265" s="334"/>
      <c r="F265" s="334"/>
      <c r="G265" s="334"/>
    </row>
    <row r="266" spans="1:7" x14ac:dyDescent="0.25">
      <c r="A266" s="337">
        <v>36295</v>
      </c>
      <c r="B266" s="334">
        <v>15.79</v>
      </c>
      <c r="C266" s="334"/>
      <c r="D266" s="334"/>
      <c r="E266" s="334"/>
      <c r="F266" s="334"/>
      <c r="G266" s="334"/>
    </row>
    <row r="267" spans="1:7" x14ac:dyDescent="0.25">
      <c r="A267" s="337">
        <v>36326</v>
      </c>
      <c r="B267" s="334">
        <v>15.98</v>
      </c>
      <c r="C267" s="334"/>
      <c r="D267" s="334"/>
      <c r="E267" s="334"/>
      <c r="F267" s="334"/>
      <c r="G267" s="334"/>
    </row>
    <row r="268" spans="1:7" x14ac:dyDescent="0.25">
      <c r="A268" s="337">
        <v>36356</v>
      </c>
      <c r="B268" s="334">
        <v>18.05</v>
      </c>
      <c r="C268" s="334"/>
      <c r="D268" s="334"/>
      <c r="E268" s="334"/>
      <c r="F268" s="334"/>
      <c r="G268" s="334"/>
    </row>
    <row r="269" spans="1:7" x14ac:dyDescent="0.25">
      <c r="A269" s="337">
        <v>36387</v>
      </c>
      <c r="B269" s="334">
        <v>19.29</v>
      </c>
      <c r="C269" s="334"/>
      <c r="D269" s="334"/>
      <c r="E269" s="334"/>
      <c r="F269" s="334"/>
      <c r="G269" s="334"/>
    </row>
    <row r="270" spans="1:7" x14ac:dyDescent="0.25">
      <c r="A270" s="337">
        <v>36418</v>
      </c>
      <c r="B270" s="334">
        <v>21.65</v>
      </c>
      <c r="C270" s="334"/>
      <c r="D270" s="334"/>
      <c r="E270" s="334"/>
      <c r="F270" s="334"/>
      <c r="G270" s="334"/>
    </row>
    <row r="271" spans="1:7" x14ac:dyDescent="0.25">
      <c r="A271" s="337">
        <v>36448</v>
      </c>
      <c r="B271" s="334">
        <v>21.03</v>
      </c>
      <c r="C271" s="334"/>
      <c r="D271" s="334"/>
      <c r="E271" s="334"/>
      <c r="F271" s="334"/>
      <c r="G271" s="334"/>
    </row>
    <row r="272" spans="1:7" x14ac:dyDescent="0.25">
      <c r="A272" s="337">
        <v>36479</v>
      </c>
      <c r="B272" s="334">
        <v>23.19</v>
      </c>
      <c r="C272" s="334"/>
      <c r="D272" s="334"/>
      <c r="E272" s="334"/>
      <c r="F272" s="334"/>
      <c r="G272" s="334"/>
    </row>
    <row r="273" spans="1:7" x14ac:dyDescent="0.25">
      <c r="A273" s="337">
        <v>36509</v>
      </c>
      <c r="B273" s="334">
        <v>24.35</v>
      </c>
      <c r="C273" s="334"/>
      <c r="D273" s="334"/>
      <c r="E273" s="334"/>
      <c r="F273" s="334"/>
      <c r="G273" s="334"/>
    </row>
    <row r="274" spans="1:7" x14ac:dyDescent="0.25">
      <c r="A274" s="337">
        <v>36540</v>
      </c>
      <c r="B274" s="334">
        <v>25.44</v>
      </c>
      <c r="C274" s="334"/>
      <c r="D274" s="334"/>
      <c r="E274" s="334"/>
      <c r="F274" s="334"/>
      <c r="G274" s="334"/>
    </row>
    <row r="275" spans="1:7" x14ac:dyDescent="0.25">
      <c r="A275" s="337">
        <v>36571</v>
      </c>
      <c r="B275" s="334">
        <v>27.88</v>
      </c>
      <c r="C275" s="334"/>
      <c r="D275" s="334"/>
      <c r="E275" s="334"/>
      <c r="F275" s="334"/>
      <c r="G275" s="334"/>
    </row>
    <row r="276" spans="1:7" x14ac:dyDescent="0.25">
      <c r="A276" s="337">
        <v>36600</v>
      </c>
      <c r="B276" s="334">
        <v>28.59</v>
      </c>
      <c r="C276" s="334"/>
      <c r="D276" s="334"/>
      <c r="E276" s="334"/>
      <c r="F276" s="334"/>
      <c r="G276" s="334"/>
    </row>
    <row r="277" spans="1:7" x14ac:dyDescent="0.25">
      <c r="A277" s="337">
        <v>36631</v>
      </c>
      <c r="B277" s="334">
        <v>24.51</v>
      </c>
      <c r="C277" s="334"/>
      <c r="D277" s="334"/>
      <c r="E277" s="334"/>
      <c r="F277" s="334"/>
      <c r="G277" s="334"/>
    </row>
    <row r="278" spans="1:7" x14ac:dyDescent="0.25">
      <c r="A278" s="337">
        <v>36661</v>
      </c>
      <c r="B278" s="334">
        <v>27.37</v>
      </c>
      <c r="C278" s="334"/>
      <c r="D278" s="334"/>
      <c r="E278" s="334"/>
      <c r="F278" s="334"/>
      <c r="G278" s="334"/>
    </row>
    <row r="279" spans="1:7" x14ac:dyDescent="0.25">
      <c r="A279" s="337">
        <v>36692</v>
      </c>
      <c r="B279" s="334">
        <v>29.47</v>
      </c>
      <c r="C279" s="334"/>
      <c r="D279" s="334"/>
      <c r="E279" s="334"/>
      <c r="F279" s="334"/>
      <c r="G279" s="334"/>
    </row>
    <row r="280" spans="1:7" x14ac:dyDescent="0.25">
      <c r="A280" s="337">
        <v>36722</v>
      </c>
      <c r="B280" s="334">
        <v>28.85</v>
      </c>
      <c r="C280" s="334"/>
      <c r="D280" s="334"/>
      <c r="E280" s="334"/>
      <c r="F280" s="334"/>
      <c r="G280" s="334"/>
    </row>
    <row r="281" spans="1:7" x14ac:dyDescent="0.25">
      <c r="A281" s="337">
        <v>36753</v>
      </c>
      <c r="B281" s="334">
        <v>29.64</v>
      </c>
      <c r="C281" s="334"/>
      <c r="D281" s="334"/>
      <c r="E281" s="334"/>
      <c r="F281" s="334"/>
      <c r="G281" s="334"/>
    </row>
    <row r="282" spans="1:7" x14ac:dyDescent="0.25">
      <c r="A282" s="337">
        <v>36784</v>
      </c>
      <c r="B282" s="334">
        <v>31.94</v>
      </c>
      <c r="C282" s="334"/>
      <c r="D282" s="334"/>
      <c r="E282" s="334"/>
      <c r="F282" s="334"/>
      <c r="G282" s="334"/>
    </row>
    <row r="283" spans="1:7" x14ac:dyDescent="0.25">
      <c r="A283" s="337">
        <v>36814</v>
      </c>
      <c r="B283" s="334">
        <v>31.43</v>
      </c>
      <c r="C283" s="334"/>
      <c r="D283" s="334"/>
      <c r="E283" s="334"/>
      <c r="F283" s="334"/>
      <c r="G283" s="334"/>
    </row>
    <row r="284" spans="1:7" x14ac:dyDescent="0.25">
      <c r="A284" s="337">
        <v>36845</v>
      </c>
      <c r="B284" s="334">
        <v>32.340000000000003</v>
      </c>
      <c r="C284" s="334"/>
      <c r="D284" s="334"/>
      <c r="E284" s="334"/>
      <c r="F284" s="334"/>
      <c r="G284" s="334"/>
    </row>
    <row r="285" spans="1:7" x14ac:dyDescent="0.25">
      <c r="A285" s="337">
        <v>36875</v>
      </c>
      <c r="B285" s="334">
        <v>27.37</v>
      </c>
      <c r="C285" s="334"/>
      <c r="D285" s="334"/>
      <c r="E285" s="334"/>
      <c r="F285" s="334"/>
      <c r="G285" s="334"/>
    </row>
    <row r="286" spans="1:7" x14ac:dyDescent="0.25">
      <c r="A286" s="337">
        <v>36906</v>
      </c>
      <c r="B286" s="334">
        <v>27.83</v>
      </c>
      <c r="C286" s="334"/>
      <c r="D286" s="334"/>
      <c r="E286" s="334"/>
      <c r="F286" s="334"/>
      <c r="G286" s="334"/>
    </row>
    <row r="287" spans="1:7" x14ac:dyDescent="0.25">
      <c r="A287" s="337">
        <v>36937</v>
      </c>
      <c r="B287" s="334">
        <v>28.13</v>
      </c>
      <c r="C287" s="334"/>
      <c r="D287" s="334"/>
      <c r="E287" s="334"/>
      <c r="F287" s="334"/>
      <c r="G287" s="334"/>
    </row>
    <row r="288" spans="1:7" x14ac:dyDescent="0.25">
      <c r="A288" s="337">
        <v>36965</v>
      </c>
      <c r="B288" s="334">
        <v>24.75</v>
      </c>
      <c r="C288" s="334"/>
      <c r="D288" s="334"/>
      <c r="E288" s="334"/>
      <c r="F288" s="334"/>
      <c r="G288" s="334"/>
    </row>
    <row r="289" spans="1:7" x14ac:dyDescent="0.25">
      <c r="A289" s="337">
        <v>36996</v>
      </c>
      <c r="B289" s="334">
        <v>24.81</v>
      </c>
      <c r="C289" s="334"/>
      <c r="D289" s="334"/>
      <c r="E289" s="334"/>
      <c r="F289" s="334"/>
      <c r="G289" s="334"/>
    </row>
    <row r="290" spans="1:7" x14ac:dyDescent="0.25">
      <c r="A290" s="337">
        <v>37026</v>
      </c>
      <c r="B290" s="334">
        <v>25.53</v>
      </c>
      <c r="C290" s="334"/>
      <c r="D290" s="334"/>
      <c r="E290" s="334"/>
      <c r="F290" s="334"/>
      <c r="G290" s="334"/>
    </row>
    <row r="291" spans="1:7" x14ac:dyDescent="0.25">
      <c r="A291" s="337">
        <v>37057</v>
      </c>
      <c r="B291" s="334">
        <v>24.5</v>
      </c>
      <c r="C291" s="334"/>
      <c r="D291" s="334"/>
      <c r="E291" s="334"/>
      <c r="F291" s="334"/>
      <c r="G291" s="334"/>
    </row>
    <row r="292" spans="1:7" x14ac:dyDescent="0.25">
      <c r="A292" s="337">
        <v>37087</v>
      </c>
      <c r="B292" s="334">
        <v>24.23</v>
      </c>
      <c r="C292" s="334"/>
      <c r="D292" s="334"/>
      <c r="E292" s="334"/>
      <c r="F292" s="334"/>
      <c r="G292" s="334"/>
    </row>
    <row r="293" spans="1:7" x14ac:dyDescent="0.25">
      <c r="A293" s="337">
        <v>37118</v>
      </c>
      <c r="B293" s="334">
        <v>25.41</v>
      </c>
      <c r="C293" s="334"/>
      <c r="D293" s="334"/>
      <c r="E293" s="334"/>
      <c r="F293" s="334"/>
      <c r="G293" s="334"/>
    </row>
    <row r="294" spans="1:7" x14ac:dyDescent="0.25">
      <c r="A294" s="337">
        <v>37149</v>
      </c>
      <c r="B294" s="334">
        <v>24.85</v>
      </c>
      <c r="C294" s="334"/>
      <c r="D294" s="334"/>
      <c r="E294" s="334"/>
      <c r="F294" s="334"/>
      <c r="G294" s="334"/>
    </row>
    <row r="295" spans="1:7" x14ac:dyDescent="0.25">
      <c r="A295" s="337">
        <v>37179</v>
      </c>
      <c r="B295" s="334">
        <v>19.93</v>
      </c>
      <c r="C295" s="334"/>
      <c r="D295" s="334"/>
      <c r="E295" s="334"/>
      <c r="F295" s="334"/>
      <c r="G295" s="334"/>
    </row>
    <row r="296" spans="1:7" x14ac:dyDescent="0.25">
      <c r="A296" s="337">
        <v>37210</v>
      </c>
      <c r="B296" s="334">
        <v>18.55</v>
      </c>
      <c r="C296" s="334"/>
      <c r="D296" s="334"/>
      <c r="E296" s="334"/>
      <c r="F296" s="334"/>
      <c r="G296" s="334"/>
    </row>
    <row r="297" spans="1:7" x14ac:dyDescent="0.25">
      <c r="A297" s="337">
        <v>37240</v>
      </c>
      <c r="B297" s="334">
        <v>17.190000000000001</v>
      </c>
      <c r="C297" s="334"/>
      <c r="D297" s="334"/>
      <c r="E297" s="334"/>
      <c r="F297" s="334"/>
      <c r="G297" s="334"/>
    </row>
    <row r="298" spans="1:7" x14ac:dyDescent="0.25">
      <c r="A298" s="337">
        <v>37271</v>
      </c>
      <c r="B298" s="334">
        <v>17.48</v>
      </c>
      <c r="C298" s="334"/>
      <c r="D298" s="334"/>
      <c r="E298" s="334"/>
      <c r="F298" s="334"/>
      <c r="G298" s="334"/>
    </row>
    <row r="299" spans="1:7" x14ac:dyDescent="0.25">
      <c r="A299" s="337">
        <v>37302</v>
      </c>
      <c r="B299" s="334">
        <v>18.489999999999998</v>
      </c>
      <c r="C299" s="334"/>
      <c r="D299" s="334"/>
      <c r="E299" s="334"/>
      <c r="F299" s="334"/>
      <c r="G299" s="334"/>
    </row>
    <row r="300" spans="1:7" x14ac:dyDescent="0.25">
      <c r="A300" s="337">
        <v>37330</v>
      </c>
      <c r="B300" s="334">
        <v>22.42</v>
      </c>
      <c r="C300" s="334"/>
      <c r="D300" s="334"/>
      <c r="E300" s="334"/>
      <c r="F300" s="334"/>
      <c r="G300" s="334"/>
    </row>
    <row r="301" spans="1:7" x14ac:dyDescent="0.25">
      <c r="A301" s="337">
        <v>37361</v>
      </c>
      <c r="B301" s="334">
        <v>24.13</v>
      </c>
      <c r="C301" s="334"/>
      <c r="D301" s="334"/>
      <c r="E301" s="334"/>
      <c r="F301" s="334"/>
      <c r="G301" s="334"/>
    </row>
    <row r="302" spans="1:7" x14ac:dyDescent="0.25">
      <c r="A302" s="337">
        <v>37391</v>
      </c>
      <c r="B302" s="334">
        <v>24.69</v>
      </c>
      <c r="C302" s="334"/>
      <c r="D302" s="334"/>
      <c r="E302" s="334"/>
      <c r="F302" s="334"/>
      <c r="G302" s="334"/>
    </row>
    <row r="303" spans="1:7" x14ac:dyDescent="0.25">
      <c r="A303" s="337">
        <v>37422</v>
      </c>
      <c r="B303" s="334">
        <v>24.24</v>
      </c>
      <c r="C303" s="334"/>
      <c r="D303" s="334"/>
      <c r="E303" s="334"/>
      <c r="F303" s="334"/>
      <c r="G303" s="334"/>
    </row>
    <row r="304" spans="1:7" x14ac:dyDescent="0.25">
      <c r="A304" s="337">
        <v>37452</v>
      </c>
      <c r="B304" s="334">
        <v>25.13</v>
      </c>
      <c r="C304" s="334"/>
      <c r="D304" s="334"/>
      <c r="E304" s="334"/>
      <c r="F304" s="334"/>
      <c r="G304" s="334"/>
    </row>
    <row r="305" spans="1:7" x14ac:dyDescent="0.25">
      <c r="A305" s="337">
        <v>37483</v>
      </c>
      <c r="B305" s="334">
        <v>26.47</v>
      </c>
      <c r="C305" s="334"/>
      <c r="D305" s="334"/>
      <c r="E305" s="334"/>
      <c r="F305" s="334"/>
      <c r="G305" s="334"/>
    </row>
    <row r="306" spans="1:7" x14ac:dyDescent="0.25">
      <c r="A306" s="337">
        <v>37514</v>
      </c>
      <c r="B306" s="334">
        <v>27.66</v>
      </c>
      <c r="C306" s="334"/>
      <c r="D306" s="334"/>
      <c r="E306" s="334"/>
      <c r="F306" s="334"/>
      <c r="G306" s="334"/>
    </row>
    <row r="307" spans="1:7" x14ac:dyDescent="0.25">
      <c r="A307" s="337">
        <v>37544</v>
      </c>
      <c r="B307" s="334">
        <v>26.94</v>
      </c>
      <c r="C307" s="334"/>
      <c r="D307" s="334"/>
      <c r="E307" s="334"/>
      <c r="F307" s="334"/>
      <c r="G307" s="334"/>
    </row>
    <row r="308" spans="1:7" x14ac:dyDescent="0.25">
      <c r="A308" s="337">
        <v>37575</v>
      </c>
      <c r="B308" s="334">
        <v>24.86</v>
      </c>
      <c r="C308" s="334"/>
      <c r="D308" s="334"/>
      <c r="E308" s="334"/>
      <c r="F308" s="334"/>
      <c r="G308" s="334"/>
    </row>
    <row r="309" spans="1:7" x14ac:dyDescent="0.25">
      <c r="A309" s="337">
        <v>37605</v>
      </c>
      <c r="B309" s="334">
        <v>27.62</v>
      </c>
      <c r="C309" s="334"/>
      <c r="D309" s="334"/>
      <c r="E309" s="334"/>
      <c r="F309" s="334"/>
      <c r="G309" s="334"/>
    </row>
    <row r="310" spans="1:7" x14ac:dyDescent="0.25">
      <c r="A310" s="337">
        <v>37636</v>
      </c>
      <c r="B310" s="334">
        <v>30.69</v>
      </c>
      <c r="C310" s="334"/>
      <c r="D310" s="334"/>
      <c r="E310" s="334"/>
      <c r="F310" s="334"/>
      <c r="G310" s="334"/>
    </row>
    <row r="311" spans="1:7" x14ac:dyDescent="0.25">
      <c r="A311" s="337">
        <v>37667</v>
      </c>
      <c r="B311" s="334">
        <v>34.35</v>
      </c>
      <c r="C311" s="334"/>
      <c r="D311" s="334"/>
      <c r="E311" s="334"/>
      <c r="F311" s="334"/>
      <c r="G311" s="334"/>
    </row>
    <row r="312" spans="1:7" x14ac:dyDescent="0.25">
      <c r="A312" s="337">
        <v>37695</v>
      </c>
      <c r="B312" s="334">
        <v>31.62</v>
      </c>
      <c r="C312" s="334"/>
      <c r="D312" s="334"/>
      <c r="E312" s="334"/>
      <c r="F312" s="334"/>
      <c r="G312" s="334"/>
    </row>
    <row r="313" spans="1:7" x14ac:dyDescent="0.25">
      <c r="A313" s="337">
        <v>37726</v>
      </c>
      <c r="B313" s="334">
        <v>26.94</v>
      </c>
      <c r="C313" s="334"/>
      <c r="D313" s="334"/>
      <c r="E313" s="334"/>
      <c r="F313" s="334"/>
      <c r="G313" s="334"/>
    </row>
    <row r="314" spans="1:7" x14ac:dyDescent="0.25">
      <c r="A314" s="337">
        <v>37756</v>
      </c>
      <c r="B314" s="334">
        <v>27.14</v>
      </c>
      <c r="C314" s="334"/>
      <c r="D314" s="334"/>
      <c r="E314" s="334"/>
      <c r="F314" s="334"/>
      <c r="G314" s="334"/>
    </row>
    <row r="315" spans="1:7" x14ac:dyDescent="0.25">
      <c r="A315" s="337">
        <v>37787</v>
      </c>
      <c r="B315" s="334">
        <v>29.07</v>
      </c>
      <c r="C315" s="334"/>
      <c r="D315" s="334"/>
      <c r="E315" s="334"/>
      <c r="F315" s="334"/>
      <c r="G315" s="334"/>
    </row>
    <row r="316" spans="1:7" x14ac:dyDescent="0.25">
      <c r="A316" s="337">
        <v>37817</v>
      </c>
      <c r="B316" s="334">
        <v>30.06</v>
      </c>
      <c r="C316" s="334"/>
      <c r="D316" s="334"/>
      <c r="E316" s="334"/>
      <c r="F316" s="334"/>
      <c r="G316" s="334"/>
    </row>
    <row r="317" spans="1:7" x14ac:dyDescent="0.25">
      <c r="A317" s="337">
        <v>37848</v>
      </c>
      <c r="B317" s="334">
        <v>30.17</v>
      </c>
      <c r="C317" s="334"/>
      <c r="D317" s="334"/>
      <c r="E317" s="334"/>
      <c r="F317" s="334"/>
      <c r="G317" s="334"/>
    </row>
    <row r="318" spans="1:7" x14ac:dyDescent="0.25">
      <c r="A318" s="337">
        <v>37879</v>
      </c>
      <c r="B318" s="334">
        <v>26.35</v>
      </c>
      <c r="C318" s="334"/>
      <c r="D318" s="334"/>
      <c r="E318" s="334"/>
      <c r="F318" s="334"/>
      <c r="G318" s="334"/>
    </row>
    <row r="319" spans="1:7" x14ac:dyDescent="0.25">
      <c r="A319" s="337">
        <v>37909</v>
      </c>
      <c r="B319" s="334">
        <v>28.38</v>
      </c>
      <c r="C319" s="334"/>
      <c r="D319" s="334"/>
      <c r="E319" s="334"/>
      <c r="F319" s="334"/>
      <c r="G319" s="334"/>
    </row>
    <row r="320" spans="1:7" x14ac:dyDescent="0.25">
      <c r="A320" s="337">
        <v>37940</v>
      </c>
      <c r="B320" s="334">
        <v>29.06</v>
      </c>
      <c r="C320" s="334"/>
      <c r="D320" s="334"/>
      <c r="E320" s="334"/>
      <c r="F320" s="334"/>
      <c r="G320" s="334"/>
    </row>
    <row r="321" spans="1:7" x14ac:dyDescent="0.25">
      <c r="A321" s="337">
        <v>37970</v>
      </c>
      <c r="B321" s="334">
        <v>30.18</v>
      </c>
      <c r="C321" s="334"/>
      <c r="D321" s="334"/>
      <c r="E321" s="334"/>
      <c r="F321" s="334"/>
      <c r="G321" s="334"/>
    </row>
    <row r="322" spans="1:7" x14ac:dyDescent="0.25">
      <c r="A322" s="337">
        <v>38001</v>
      </c>
      <c r="B322" s="334">
        <v>31.92</v>
      </c>
      <c r="C322" s="334"/>
      <c r="D322" s="334"/>
      <c r="E322" s="334"/>
      <c r="F322" s="334"/>
      <c r="G322" s="334"/>
    </row>
    <row r="323" spans="1:7" x14ac:dyDescent="0.25">
      <c r="A323" s="337">
        <v>38032</v>
      </c>
      <c r="B323" s="334">
        <v>32.81</v>
      </c>
      <c r="C323" s="334"/>
      <c r="D323" s="334"/>
      <c r="E323" s="334"/>
      <c r="F323" s="334"/>
      <c r="G323" s="334"/>
    </row>
    <row r="324" spans="1:7" x14ac:dyDescent="0.25">
      <c r="A324" s="337">
        <v>38061</v>
      </c>
      <c r="B324" s="334">
        <v>34.82</v>
      </c>
      <c r="C324" s="334"/>
      <c r="D324" s="334"/>
      <c r="E324" s="334"/>
      <c r="F324" s="334"/>
      <c r="G324" s="334"/>
    </row>
    <row r="325" spans="1:7" x14ac:dyDescent="0.25">
      <c r="A325" s="337">
        <v>38092</v>
      </c>
      <c r="B325" s="334">
        <v>34.9</v>
      </c>
      <c r="C325" s="334"/>
      <c r="D325" s="334"/>
      <c r="E325" s="334"/>
      <c r="F325" s="334"/>
      <c r="G325" s="334"/>
    </row>
    <row r="326" spans="1:7" x14ac:dyDescent="0.25">
      <c r="A326" s="337">
        <v>38122</v>
      </c>
      <c r="B326" s="334">
        <v>37.950000000000003</v>
      </c>
      <c r="C326" s="334"/>
      <c r="D326" s="334"/>
      <c r="E326" s="334"/>
      <c r="F326" s="334"/>
      <c r="G326" s="334"/>
    </row>
    <row r="327" spans="1:7" x14ac:dyDescent="0.25">
      <c r="A327" s="337">
        <v>38153</v>
      </c>
      <c r="B327" s="334">
        <v>36.380000000000003</v>
      </c>
      <c r="C327" s="334"/>
      <c r="D327" s="334"/>
      <c r="E327" s="334"/>
      <c r="F327" s="334"/>
      <c r="G327" s="334"/>
    </row>
    <row r="328" spans="1:7" x14ac:dyDescent="0.25">
      <c r="A328" s="337">
        <v>38183</v>
      </c>
      <c r="B328" s="334">
        <v>38.520000000000003</v>
      </c>
      <c r="C328" s="334"/>
      <c r="D328" s="334"/>
      <c r="E328" s="334"/>
      <c r="F328" s="334"/>
      <c r="G328" s="334"/>
    </row>
    <row r="329" spans="1:7" x14ac:dyDescent="0.25">
      <c r="A329" s="337">
        <v>38214</v>
      </c>
      <c r="B329" s="334">
        <v>42.72</v>
      </c>
      <c r="C329" s="334"/>
      <c r="D329" s="334"/>
      <c r="E329" s="334"/>
      <c r="F329" s="334"/>
      <c r="G329" s="334"/>
    </row>
    <row r="330" spans="1:7" x14ac:dyDescent="0.25">
      <c r="A330" s="337">
        <v>38245</v>
      </c>
      <c r="B330" s="334">
        <v>43.74</v>
      </c>
      <c r="C330" s="334"/>
      <c r="D330" s="334"/>
      <c r="E330" s="334"/>
      <c r="F330" s="334"/>
      <c r="G330" s="334"/>
    </row>
    <row r="331" spans="1:7" x14ac:dyDescent="0.25">
      <c r="A331" s="337">
        <v>38275</v>
      </c>
      <c r="B331" s="334">
        <v>50.27</v>
      </c>
      <c r="C331" s="334"/>
      <c r="D331" s="334"/>
      <c r="E331" s="334"/>
      <c r="F331" s="334"/>
      <c r="G331" s="334"/>
    </row>
    <row r="332" spans="1:7" x14ac:dyDescent="0.25">
      <c r="A332" s="337">
        <v>38306</v>
      </c>
      <c r="B332" s="334">
        <v>45.92</v>
      </c>
      <c r="C332" s="334"/>
      <c r="D332" s="334"/>
      <c r="E332" s="334"/>
      <c r="F332" s="334"/>
      <c r="G332" s="334"/>
    </row>
    <row r="333" spans="1:7" x14ac:dyDescent="0.25">
      <c r="A333" s="337">
        <v>38336</v>
      </c>
      <c r="B333" s="334">
        <v>40.4</v>
      </c>
      <c r="C333" s="334"/>
      <c r="D333" s="334"/>
      <c r="E333" s="334"/>
      <c r="F333" s="334"/>
      <c r="G333" s="334"/>
    </row>
    <row r="334" spans="1:7" x14ac:dyDescent="0.25">
      <c r="A334" s="337">
        <v>38367</v>
      </c>
      <c r="B334" s="334">
        <v>43.82</v>
      </c>
      <c r="C334" s="334"/>
      <c r="D334" s="334"/>
      <c r="E334" s="334"/>
      <c r="F334" s="334"/>
      <c r="G334" s="334"/>
    </row>
    <row r="335" spans="1:7" x14ac:dyDescent="0.25">
      <c r="A335" s="337">
        <v>38398</v>
      </c>
      <c r="B335" s="334">
        <v>45.08</v>
      </c>
      <c r="C335" s="334"/>
      <c r="D335" s="334"/>
      <c r="E335" s="334"/>
      <c r="F335" s="334"/>
      <c r="G335" s="334"/>
    </row>
    <row r="336" spans="1:7" x14ac:dyDescent="0.25">
      <c r="A336" s="337">
        <v>38426</v>
      </c>
      <c r="B336" s="334">
        <v>50.9</v>
      </c>
      <c r="C336" s="334"/>
      <c r="D336" s="334"/>
      <c r="E336" s="334"/>
      <c r="F336" s="334"/>
      <c r="G336" s="334"/>
    </row>
    <row r="337" spans="1:7" x14ac:dyDescent="0.25">
      <c r="A337" s="337">
        <v>38457</v>
      </c>
      <c r="B337" s="334">
        <v>49.42</v>
      </c>
      <c r="C337" s="334"/>
      <c r="D337" s="334"/>
      <c r="E337" s="334"/>
      <c r="F337" s="334"/>
      <c r="G337" s="334"/>
    </row>
    <row r="338" spans="1:7" x14ac:dyDescent="0.25">
      <c r="A338" s="337">
        <v>38487</v>
      </c>
      <c r="B338" s="334">
        <v>45.87</v>
      </c>
      <c r="C338" s="334"/>
      <c r="D338" s="334"/>
      <c r="E338" s="334"/>
      <c r="F338" s="334"/>
      <c r="G338" s="334"/>
    </row>
    <row r="339" spans="1:7" x14ac:dyDescent="0.25">
      <c r="A339" s="337">
        <v>38518</v>
      </c>
      <c r="B339" s="334">
        <v>52.2</v>
      </c>
      <c r="C339" s="334"/>
      <c r="D339" s="334"/>
      <c r="E339" s="334"/>
      <c r="F339" s="334"/>
      <c r="G339" s="334"/>
    </row>
    <row r="340" spans="1:7" x14ac:dyDescent="0.25">
      <c r="A340" s="337">
        <v>38548</v>
      </c>
      <c r="B340" s="334">
        <v>56</v>
      </c>
      <c r="C340" s="334"/>
      <c r="D340" s="334"/>
      <c r="E340" s="334"/>
      <c r="F340" s="334"/>
      <c r="G340" s="334"/>
    </row>
    <row r="341" spans="1:7" x14ac:dyDescent="0.25">
      <c r="A341" s="337">
        <v>38579</v>
      </c>
      <c r="B341" s="334">
        <v>61.86</v>
      </c>
      <c r="C341" s="334"/>
      <c r="D341" s="334"/>
      <c r="E341" s="334"/>
      <c r="F341" s="334"/>
      <c r="G341" s="334"/>
    </row>
    <row r="342" spans="1:7" x14ac:dyDescent="0.25">
      <c r="A342" s="337">
        <v>38610</v>
      </c>
      <c r="B342" s="334">
        <v>61.85</v>
      </c>
      <c r="C342" s="334"/>
      <c r="D342" s="334"/>
      <c r="E342" s="334"/>
      <c r="F342" s="334"/>
      <c r="G342" s="334"/>
    </row>
    <row r="343" spans="1:7" x14ac:dyDescent="0.25">
      <c r="A343" s="337">
        <v>38640</v>
      </c>
      <c r="B343" s="334">
        <v>58.87</v>
      </c>
      <c r="C343" s="334"/>
      <c r="D343" s="334"/>
      <c r="E343" s="334"/>
      <c r="F343" s="334"/>
      <c r="G343" s="334"/>
    </row>
    <row r="344" spans="1:7" x14ac:dyDescent="0.25">
      <c r="A344" s="337">
        <v>38671</v>
      </c>
      <c r="B344" s="334">
        <v>55.18</v>
      </c>
      <c r="C344" s="334"/>
      <c r="D344" s="334"/>
      <c r="E344" s="334"/>
      <c r="F344" s="334"/>
      <c r="G344" s="334"/>
    </row>
    <row r="345" spans="1:7" x14ac:dyDescent="0.25">
      <c r="A345" s="337">
        <v>38701</v>
      </c>
      <c r="B345" s="334">
        <v>55.3</v>
      </c>
      <c r="C345" s="334"/>
      <c r="D345" s="334"/>
      <c r="E345" s="334"/>
      <c r="F345" s="334"/>
      <c r="G345" s="334"/>
    </row>
    <row r="346" spans="1:7" x14ac:dyDescent="0.25">
      <c r="A346" s="337">
        <v>38732</v>
      </c>
      <c r="B346" s="334">
        <v>61.29</v>
      </c>
      <c r="C346" s="334"/>
      <c r="D346" s="334"/>
      <c r="E346" s="334"/>
      <c r="F346" s="334"/>
      <c r="G346" s="334"/>
    </row>
    <row r="347" spans="1:7" x14ac:dyDescent="0.25">
      <c r="A347" s="337">
        <v>38763</v>
      </c>
      <c r="B347" s="334">
        <v>58.19</v>
      </c>
      <c r="C347" s="334"/>
      <c r="D347" s="334"/>
      <c r="E347" s="334"/>
      <c r="F347" s="334"/>
      <c r="G347" s="334"/>
    </row>
    <row r="348" spans="1:7" x14ac:dyDescent="0.25">
      <c r="A348" s="337">
        <v>38791</v>
      </c>
      <c r="B348" s="334">
        <v>57.21</v>
      </c>
      <c r="C348" s="334"/>
      <c r="D348" s="334"/>
      <c r="E348" s="334"/>
      <c r="F348" s="334"/>
      <c r="G348" s="334"/>
    </row>
    <row r="349" spans="1:7" x14ac:dyDescent="0.25">
      <c r="A349" s="337">
        <v>38822</v>
      </c>
      <c r="B349" s="334">
        <v>64.849999999999994</v>
      </c>
      <c r="C349" s="334"/>
      <c r="D349" s="334"/>
      <c r="E349" s="334"/>
      <c r="F349" s="334"/>
      <c r="G349" s="334"/>
    </row>
    <row r="350" spans="1:7" x14ac:dyDescent="0.25">
      <c r="A350" s="337">
        <v>38852</v>
      </c>
      <c r="B350" s="334">
        <v>66.63</v>
      </c>
      <c r="C350" s="334"/>
      <c r="D350" s="334"/>
      <c r="E350" s="334"/>
      <c r="F350" s="334"/>
      <c r="G350" s="334"/>
    </row>
    <row r="351" spans="1:7" x14ac:dyDescent="0.25">
      <c r="A351" s="337">
        <v>38883</v>
      </c>
      <c r="B351" s="334">
        <v>66.66</v>
      </c>
      <c r="C351" s="334"/>
      <c r="D351" s="334"/>
      <c r="E351" s="334"/>
      <c r="F351" s="334"/>
      <c r="G351" s="334"/>
    </row>
    <row r="352" spans="1:7" x14ac:dyDescent="0.25">
      <c r="A352" s="337">
        <v>38913</v>
      </c>
      <c r="B352" s="334">
        <v>70.11</v>
      </c>
      <c r="C352" s="334"/>
      <c r="D352" s="334"/>
      <c r="E352" s="334"/>
      <c r="F352" s="334"/>
      <c r="G352" s="334"/>
    </row>
    <row r="353" spans="1:7" x14ac:dyDescent="0.25">
      <c r="A353" s="337">
        <v>38944</v>
      </c>
      <c r="B353" s="334">
        <v>69.02</v>
      </c>
      <c r="C353" s="334"/>
      <c r="D353" s="334"/>
      <c r="E353" s="334"/>
      <c r="F353" s="334"/>
      <c r="G353" s="334"/>
    </row>
    <row r="354" spans="1:7" x14ac:dyDescent="0.25">
      <c r="A354" s="337">
        <v>38975</v>
      </c>
      <c r="B354" s="334">
        <v>60.4</v>
      </c>
      <c r="C354" s="334"/>
      <c r="D354" s="334"/>
      <c r="E354" s="334"/>
      <c r="F354" s="334"/>
      <c r="G354" s="334"/>
    </row>
    <row r="355" spans="1:7" x14ac:dyDescent="0.25">
      <c r="A355" s="337">
        <v>39005</v>
      </c>
      <c r="B355" s="334">
        <v>55.19</v>
      </c>
      <c r="C355" s="334"/>
      <c r="D355" s="334"/>
      <c r="E355" s="334"/>
      <c r="F355" s="334"/>
      <c r="G355" s="334"/>
    </row>
    <row r="356" spans="1:7" x14ac:dyDescent="0.25">
      <c r="A356" s="337">
        <v>39036</v>
      </c>
      <c r="B356" s="334">
        <v>54.5</v>
      </c>
      <c r="C356" s="334"/>
      <c r="D356" s="334"/>
      <c r="E356" s="334"/>
      <c r="F356" s="334"/>
      <c r="G356" s="334"/>
    </row>
    <row r="357" spans="1:7" x14ac:dyDescent="0.25">
      <c r="A357" s="337">
        <v>39066</v>
      </c>
      <c r="B357" s="334">
        <v>56.93</v>
      </c>
      <c r="C357" s="334"/>
      <c r="D357" s="334"/>
      <c r="E357" s="334"/>
      <c r="F357" s="334"/>
      <c r="G357" s="334"/>
    </row>
    <row r="358" spans="1:7" x14ac:dyDescent="0.25">
      <c r="A358" s="337">
        <v>39097</v>
      </c>
      <c r="B358" s="334">
        <v>50.84</v>
      </c>
      <c r="C358" s="334"/>
      <c r="D358" s="334"/>
      <c r="E358" s="334"/>
      <c r="F358" s="334"/>
      <c r="G358" s="334"/>
    </row>
    <row r="359" spans="1:7" x14ac:dyDescent="0.25">
      <c r="A359" s="337">
        <v>39128</v>
      </c>
      <c r="B359" s="334">
        <v>55.69</v>
      </c>
      <c r="C359" s="334"/>
      <c r="D359" s="334"/>
      <c r="E359" s="334"/>
      <c r="F359" s="334"/>
      <c r="G359" s="334"/>
    </row>
    <row r="360" spans="1:7" x14ac:dyDescent="0.25">
      <c r="A360" s="337">
        <v>39156</v>
      </c>
      <c r="B360" s="334">
        <v>57.26</v>
      </c>
      <c r="C360" s="334"/>
      <c r="D360" s="334"/>
      <c r="E360" s="334"/>
      <c r="F360" s="334"/>
      <c r="G360" s="334"/>
    </row>
    <row r="361" spans="1:7" x14ac:dyDescent="0.25">
      <c r="A361" s="337">
        <v>39187</v>
      </c>
      <c r="B361" s="334">
        <v>59.96</v>
      </c>
      <c r="C361" s="334"/>
      <c r="D361" s="334"/>
      <c r="E361" s="334"/>
      <c r="F361" s="334"/>
      <c r="G361" s="334"/>
    </row>
    <row r="362" spans="1:7" x14ac:dyDescent="0.25">
      <c r="A362" s="337">
        <v>39217</v>
      </c>
      <c r="B362" s="334">
        <v>59.05</v>
      </c>
      <c r="C362" s="334"/>
      <c r="D362" s="334"/>
      <c r="E362" s="334"/>
      <c r="F362" s="334"/>
      <c r="G362" s="334"/>
    </row>
    <row r="363" spans="1:7" x14ac:dyDescent="0.25">
      <c r="A363" s="337">
        <v>39248</v>
      </c>
      <c r="B363" s="334">
        <v>62.29</v>
      </c>
      <c r="C363" s="334"/>
      <c r="D363" s="334"/>
      <c r="E363" s="334"/>
      <c r="F363" s="334"/>
      <c r="G363" s="334"/>
    </row>
    <row r="364" spans="1:7" x14ac:dyDescent="0.25">
      <c r="A364" s="337">
        <v>39278</v>
      </c>
      <c r="B364" s="334">
        <v>70.569999999999993</v>
      </c>
      <c r="C364" s="334"/>
      <c r="D364" s="334"/>
      <c r="E364" s="334"/>
      <c r="F364" s="334"/>
      <c r="G364" s="334"/>
    </row>
    <row r="365" spans="1:7" x14ac:dyDescent="0.25">
      <c r="A365" s="337">
        <v>39309</v>
      </c>
      <c r="B365" s="334">
        <v>69.16</v>
      </c>
      <c r="C365" s="334"/>
      <c r="D365" s="334"/>
      <c r="E365" s="334"/>
      <c r="F365" s="334"/>
      <c r="G365" s="334"/>
    </row>
    <row r="366" spans="1:7" x14ac:dyDescent="0.25">
      <c r="A366" s="337">
        <v>39340</v>
      </c>
      <c r="B366" s="334">
        <v>75.95</v>
      </c>
      <c r="C366" s="334"/>
      <c r="D366" s="334"/>
      <c r="E366" s="334"/>
      <c r="F366" s="334"/>
      <c r="G366" s="334"/>
    </row>
    <row r="367" spans="1:7" x14ac:dyDescent="0.25">
      <c r="A367" s="337">
        <v>39370</v>
      </c>
      <c r="B367" s="334">
        <v>83.18</v>
      </c>
      <c r="C367" s="334"/>
      <c r="D367" s="334"/>
      <c r="E367" s="334"/>
      <c r="F367" s="334"/>
      <c r="G367" s="334"/>
    </row>
    <row r="368" spans="1:7" x14ac:dyDescent="0.25">
      <c r="A368" s="337">
        <v>39401</v>
      </c>
      <c r="B368" s="334">
        <v>91.87</v>
      </c>
      <c r="C368" s="334"/>
      <c r="D368" s="334"/>
      <c r="E368" s="334"/>
      <c r="F368" s="334"/>
      <c r="G368" s="334"/>
    </row>
    <row r="369" spans="1:7" x14ac:dyDescent="0.25">
      <c r="A369" s="337">
        <v>39431</v>
      </c>
      <c r="B369" s="334">
        <v>88.4</v>
      </c>
      <c r="C369" s="334"/>
      <c r="D369" s="334"/>
      <c r="E369" s="334"/>
      <c r="F369" s="334"/>
      <c r="G369" s="334"/>
    </row>
    <row r="370" spans="1:7" x14ac:dyDescent="0.25">
      <c r="A370" s="337">
        <v>39462</v>
      </c>
      <c r="B370" s="334">
        <v>90.08</v>
      </c>
      <c r="C370" s="334"/>
      <c r="D370" s="334"/>
      <c r="E370" s="334"/>
      <c r="F370" s="334"/>
      <c r="G370" s="334"/>
    </row>
    <row r="371" spans="1:7" x14ac:dyDescent="0.25">
      <c r="A371" s="337">
        <v>39493</v>
      </c>
      <c r="B371" s="334">
        <v>92.29</v>
      </c>
      <c r="C371" s="334"/>
      <c r="D371" s="334"/>
      <c r="E371" s="334"/>
      <c r="F371" s="334"/>
      <c r="G371" s="334"/>
    </row>
    <row r="372" spans="1:7" x14ac:dyDescent="0.25">
      <c r="A372" s="337">
        <v>39522</v>
      </c>
      <c r="B372" s="334">
        <v>101.58</v>
      </c>
      <c r="C372" s="334"/>
      <c r="D372" s="334"/>
      <c r="E372" s="334"/>
      <c r="F372" s="334"/>
      <c r="G372" s="334"/>
    </row>
    <row r="373" spans="1:7" x14ac:dyDescent="0.25">
      <c r="A373" s="337">
        <v>39553</v>
      </c>
      <c r="B373" s="334">
        <v>109.83</v>
      </c>
      <c r="C373" s="334"/>
      <c r="D373" s="334"/>
      <c r="E373" s="334"/>
      <c r="F373" s="334"/>
      <c r="G373" s="334"/>
    </row>
    <row r="374" spans="1:7" x14ac:dyDescent="0.25">
      <c r="A374" s="337">
        <v>39583</v>
      </c>
      <c r="B374" s="334">
        <v>122.41</v>
      </c>
      <c r="C374" s="334"/>
      <c r="D374" s="334"/>
      <c r="E374" s="334"/>
      <c r="F374" s="334"/>
      <c r="G374" s="334"/>
    </row>
    <row r="375" spans="1:7" x14ac:dyDescent="0.25">
      <c r="A375" s="337">
        <v>39614</v>
      </c>
      <c r="B375" s="334">
        <v>130.78</v>
      </c>
      <c r="C375" s="334"/>
      <c r="D375" s="334"/>
      <c r="E375" s="334"/>
      <c r="F375" s="334"/>
      <c r="G375" s="334"/>
    </row>
    <row r="376" spans="1:7" x14ac:dyDescent="0.25">
      <c r="A376" s="337">
        <v>39644</v>
      </c>
      <c r="B376" s="334">
        <v>130.63999999999999</v>
      </c>
      <c r="C376" s="334"/>
      <c r="D376" s="334"/>
      <c r="E376" s="334"/>
      <c r="F376" s="334"/>
      <c r="G376" s="334"/>
    </row>
    <row r="377" spans="1:7" x14ac:dyDescent="0.25">
      <c r="A377" s="337">
        <v>39675</v>
      </c>
      <c r="B377" s="334">
        <v>113.69</v>
      </c>
      <c r="C377" s="334"/>
      <c r="D377" s="334"/>
      <c r="E377" s="334"/>
      <c r="F377" s="334"/>
      <c r="G377" s="334"/>
    </row>
    <row r="378" spans="1:7" x14ac:dyDescent="0.25">
      <c r="A378" s="337">
        <v>39706</v>
      </c>
      <c r="B378" s="334">
        <v>101.47</v>
      </c>
      <c r="C378" s="334"/>
      <c r="D378" s="334"/>
      <c r="E378" s="334"/>
      <c r="F378" s="334"/>
      <c r="G378" s="334"/>
    </row>
    <row r="379" spans="1:7" x14ac:dyDescent="0.25">
      <c r="A379" s="337">
        <v>39736</v>
      </c>
      <c r="B379" s="334">
        <v>74.849999999999994</v>
      </c>
      <c r="C379" s="334"/>
      <c r="D379" s="334"/>
      <c r="E379" s="334"/>
      <c r="F379" s="334"/>
      <c r="G379" s="334"/>
    </row>
    <row r="380" spans="1:7" x14ac:dyDescent="0.25">
      <c r="A380" s="337">
        <v>39767</v>
      </c>
      <c r="B380" s="334">
        <v>55.25</v>
      </c>
      <c r="C380" s="334"/>
      <c r="D380" s="334"/>
      <c r="E380" s="334"/>
      <c r="F380" s="334"/>
      <c r="G380" s="334"/>
    </row>
    <row r="381" spans="1:7" x14ac:dyDescent="0.25">
      <c r="A381" s="337">
        <v>39797</v>
      </c>
      <c r="B381" s="334">
        <v>36.29</v>
      </c>
      <c r="C381" s="334"/>
      <c r="D381" s="334"/>
      <c r="E381" s="334"/>
      <c r="F381" s="334"/>
      <c r="G381" s="334"/>
    </row>
    <row r="382" spans="1:7" x14ac:dyDescent="0.25">
      <c r="A382" s="337">
        <v>39828</v>
      </c>
      <c r="B382" s="334">
        <v>35.22</v>
      </c>
      <c r="C382" s="334"/>
      <c r="D382" s="334"/>
      <c r="E382" s="334"/>
      <c r="F382" s="334"/>
      <c r="G382" s="334"/>
    </row>
    <row r="383" spans="1:7" x14ac:dyDescent="0.25">
      <c r="A383" s="337">
        <v>39859</v>
      </c>
      <c r="B383" s="334">
        <v>32.25</v>
      </c>
      <c r="C383" s="334"/>
      <c r="D383" s="334"/>
      <c r="E383" s="334"/>
      <c r="F383" s="334"/>
      <c r="G383" s="334"/>
    </row>
    <row r="384" spans="1:7" x14ac:dyDescent="0.25">
      <c r="A384" s="337">
        <v>39887</v>
      </c>
      <c r="B384" s="334">
        <v>41.65</v>
      </c>
      <c r="C384" s="334"/>
      <c r="D384" s="334"/>
      <c r="E384" s="334"/>
      <c r="F384" s="334"/>
      <c r="G384" s="334"/>
    </row>
    <row r="385" spans="1:7" x14ac:dyDescent="0.25">
      <c r="A385" s="337">
        <v>39918</v>
      </c>
      <c r="B385" s="334">
        <v>46.35</v>
      </c>
      <c r="C385" s="334"/>
      <c r="D385" s="334"/>
      <c r="E385" s="334"/>
      <c r="F385" s="334"/>
      <c r="G385" s="334"/>
    </row>
    <row r="386" spans="1:7" x14ac:dyDescent="0.25">
      <c r="A386" s="337">
        <v>39948</v>
      </c>
      <c r="B386" s="334">
        <v>54.15</v>
      </c>
      <c r="C386" s="334"/>
      <c r="D386" s="334"/>
      <c r="E386" s="334"/>
      <c r="F386" s="334"/>
      <c r="G386" s="334"/>
    </row>
    <row r="387" spans="1:7" x14ac:dyDescent="0.25">
      <c r="A387" s="337">
        <v>39979</v>
      </c>
      <c r="B387" s="334">
        <v>65.56</v>
      </c>
      <c r="C387" s="334"/>
      <c r="D387" s="334"/>
      <c r="E387" s="334"/>
      <c r="F387" s="334"/>
      <c r="G387" s="334"/>
    </row>
    <row r="388" spans="1:7" x14ac:dyDescent="0.25">
      <c r="A388" s="337">
        <v>40009</v>
      </c>
      <c r="B388" s="334">
        <v>60.58</v>
      </c>
      <c r="C388" s="334"/>
      <c r="D388" s="334"/>
      <c r="E388" s="334"/>
      <c r="F388" s="334"/>
      <c r="G388" s="334"/>
    </row>
    <row r="389" spans="1:7" x14ac:dyDescent="0.25">
      <c r="A389" s="337">
        <v>40040</v>
      </c>
      <c r="B389" s="334">
        <v>66.989999999999995</v>
      </c>
      <c r="C389" s="334"/>
      <c r="D389" s="334"/>
      <c r="E389" s="334"/>
      <c r="F389" s="334"/>
      <c r="G389" s="334"/>
    </row>
    <row r="390" spans="1:7" x14ac:dyDescent="0.25">
      <c r="A390" s="337">
        <v>40071</v>
      </c>
      <c r="B390" s="334">
        <v>65.14</v>
      </c>
      <c r="C390" s="334"/>
      <c r="D390" s="334"/>
      <c r="E390" s="334"/>
      <c r="F390" s="334"/>
      <c r="G390" s="334"/>
    </row>
    <row r="391" spans="1:7" x14ac:dyDescent="0.25">
      <c r="A391" s="337">
        <v>40101</v>
      </c>
      <c r="B391" s="334">
        <v>71.95</v>
      </c>
      <c r="C391" s="334"/>
      <c r="D391" s="334"/>
      <c r="E391" s="334"/>
      <c r="F391" s="334"/>
      <c r="G391" s="334"/>
    </row>
    <row r="392" spans="1:7" x14ac:dyDescent="0.25">
      <c r="A392" s="337">
        <v>40132</v>
      </c>
      <c r="B392" s="334">
        <v>73.959999999999994</v>
      </c>
      <c r="C392" s="334"/>
      <c r="D392" s="334"/>
      <c r="E392" s="334"/>
      <c r="F392" s="334"/>
      <c r="G392" s="334"/>
    </row>
    <row r="393" spans="1:7" x14ac:dyDescent="0.25">
      <c r="A393" s="337">
        <v>40162</v>
      </c>
      <c r="B393" s="334">
        <v>70.849999999999994</v>
      </c>
      <c r="C393" s="334"/>
      <c r="D393" s="334"/>
      <c r="E393" s="334"/>
      <c r="F393" s="334"/>
      <c r="G393" s="334"/>
    </row>
    <row r="394" spans="1:7" x14ac:dyDescent="0.25">
      <c r="A394" s="337">
        <v>40193</v>
      </c>
      <c r="B394" s="334">
        <v>73.739999999999995</v>
      </c>
      <c r="C394" s="334"/>
      <c r="D394" s="334"/>
      <c r="E394" s="334"/>
      <c r="F394" s="334"/>
      <c r="G394" s="334"/>
    </row>
    <row r="395" spans="1:7" x14ac:dyDescent="0.25">
      <c r="A395" s="337">
        <v>40224</v>
      </c>
      <c r="B395" s="334">
        <v>72.819999999999993</v>
      </c>
      <c r="C395" s="334"/>
      <c r="D395" s="334"/>
      <c r="E395" s="334"/>
      <c r="F395" s="334"/>
      <c r="G395" s="334"/>
    </row>
    <row r="396" spans="1:7" x14ac:dyDescent="0.25">
      <c r="A396" s="337">
        <v>40252</v>
      </c>
      <c r="B396" s="334">
        <v>77.78</v>
      </c>
      <c r="C396" s="334"/>
      <c r="D396" s="334"/>
      <c r="E396" s="334"/>
      <c r="F396" s="334"/>
      <c r="G396" s="334"/>
    </row>
    <row r="397" spans="1:7" x14ac:dyDescent="0.25">
      <c r="A397" s="337">
        <v>40283</v>
      </c>
      <c r="B397" s="334">
        <v>81.260000000000005</v>
      </c>
      <c r="C397" s="334"/>
      <c r="D397" s="334"/>
      <c r="E397" s="334"/>
      <c r="F397" s="334"/>
      <c r="G397" s="334"/>
    </row>
    <row r="398" spans="1:7" x14ac:dyDescent="0.25">
      <c r="A398" s="337">
        <v>40313</v>
      </c>
      <c r="B398" s="334">
        <v>70.75</v>
      </c>
      <c r="C398" s="334"/>
      <c r="D398" s="334"/>
      <c r="E398" s="334"/>
      <c r="F398" s="334"/>
      <c r="G398" s="334"/>
    </row>
    <row r="399" spans="1:7" x14ac:dyDescent="0.25">
      <c r="A399" s="337">
        <v>40344</v>
      </c>
      <c r="B399" s="334">
        <v>69.739999999999995</v>
      </c>
      <c r="C399" s="334"/>
      <c r="D399" s="334"/>
      <c r="E399" s="334"/>
      <c r="F399" s="334"/>
      <c r="G399" s="334"/>
    </row>
    <row r="400" spans="1:7" x14ac:dyDescent="0.25">
      <c r="A400" s="337">
        <v>40374</v>
      </c>
      <c r="B400" s="334">
        <v>72.06</v>
      </c>
      <c r="C400" s="334"/>
      <c r="D400" s="334"/>
      <c r="E400" s="334"/>
      <c r="F400" s="334"/>
      <c r="G400" s="334"/>
    </row>
    <row r="401" spans="1:7" x14ac:dyDescent="0.25">
      <c r="A401" s="337">
        <v>40405</v>
      </c>
      <c r="B401" s="334">
        <v>73.150000000000006</v>
      </c>
      <c r="C401" s="334"/>
      <c r="D401" s="334"/>
      <c r="E401" s="334"/>
      <c r="F401" s="334"/>
      <c r="G401" s="334"/>
    </row>
    <row r="402" spans="1:7" x14ac:dyDescent="0.25">
      <c r="A402" s="337">
        <v>40436</v>
      </c>
      <c r="B402" s="334">
        <v>72.09</v>
      </c>
      <c r="C402" s="334"/>
      <c r="D402" s="334"/>
      <c r="E402" s="334"/>
      <c r="F402" s="334"/>
      <c r="G402" s="334"/>
    </row>
    <row r="403" spans="1:7" x14ac:dyDescent="0.25">
      <c r="A403" s="337">
        <v>40466</v>
      </c>
      <c r="B403" s="334">
        <v>77.569999999999993</v>
      </c>
      <c r="C403" s="334"/>
      <c r="D403" s="334"/>
      <c r="E403" s="334"/>
      <c r="F403" s="334"/>
      <c r="G403" s="334"/>
    </row>
    <row r="404" spans="1:7" x14ac:dyDescent="0.25">
      <c r="A404" s="337">
        <v>40497</v>
      </c>
      <c r="B404" s="334">
        <v>80.31</v>
      </c>
      <c r="C404" s="334"/>
      <c r="D404" s="334"/>
      <c r="E404" s="334"/>
      <c r="F404" s="334"/>
      <c r="G404" s="334"/>
    </row>
    <row r="405" spans="1:7" x14ac:dyDescent="0.25">
      <c r="A405" s="337">
        <v>40527</v>
      </c>
      <c r="B405" s="334">
        <v>85.08</v>
      </c>
      <c r="C405" s="334"/>
      <c r="D405" s="334"/>
      <c r="E405" s="334"/>
      <c r="F405" s="334"/>
      <c r="G405" s="334"/>
    </row>
    <row r="406" spans="1:7" x14ac:dyDescent="0.25">
      <c r="A406" s="337">
        <v>40558</v>
      </c>
      <c r="B406" s="334">
        <v>86.09</v>
      </c>
      <c r="C406" s="334"/>
      <c r="D406" s="334"/>
      <c r="E406" s="334"/>
      <c r="F406" s="334"/>
      <c r="G406" s="334"/>
    </row>
    <row r="407" spans="1:7" x14ac:dyDescent="0.25">
      <c r="A407" s="337">
        <v>40589</v>
      </c>
      <c r="B407" s="334">
        <v>85.21</v>
      </c>
      <c r="C407" s="334"/>
      <c r="D407" s="334"/>
      <c r="E407" s="334"/>
      <c r="F407" s="334"/>
      <c r="G407" s="334"/>
    </row>
    <row r="408" spans="1:7" x14ac:dyDescent="0.25">
      <c r="A408" s="337">
        <v>40617</v>
      </c>
      <c r="B408" s="334">
        <v>95.3</v>
      </c>
      <c r="C408" s="334"/>
      <c r="D408" s="334"/>
      <c r="E408" s="334"/>
      <c r="F408" s="334"/>
      <c r="G408" s="334"/>
    </row>
    <row r="409" spans="1:7" x14ac:dyDescent="0.25">
      <c r="A409" s="337">
        <v>40648</v>
      </c>
      <c r="B409" s="334">
        <v>105.38</v>
      </c>
      <c r="C409" s="334"/>
      <c r="D409" s="334"/>
      <c r="E409" s="334"/>
      <c r="F409" s="334"/>
      <c r="G409" s="334"/>
    </row>
    <row r="410" spans="1:7" x14ac:dyDescent="0.25">
      <c r="A410" s="337">
        <v>40678</v>
      </c>
      <c r="B410" s="334">
        <v>97.08</v>
      </c>
      <c r="C410" s="334"/>
      <c r="D410" s="334"/>
      <c r="E410" s="334"/>
      <c r="F410" s="334"/>
      <c r="G410" s="334"/>
    </row>
    <row r="411" spans="1:7" x14ac:dyDescent="0.25">
      <c r="A411" s="337">
        <v>40709</v>
      </c>
      <c r="B411" s="334">
        <v>92.07</v>
      </c>
      <c r="C411" s="334"/>
      <c r="D411" s="334"/>
      <c r="E411" s="334"/>
      <c r="F411" s="334"/>
      <c r="G411" s="334"/>
    </row>
    <row r="412" spans="1:7" x14ac:dyDescent="0.25">
      <c r="A412" s="337">
        <v>40739</v>
      </c>
      <c r="B412" s="334">
        <v>93.17</v>
      </c>
      <c r="C412" s="334"/>
      <c r="D412" s="334"/>
      <c r="E412" s="334"/>
      <c r="F412" s="334"/>
      <c r="G412" s="334"/>
    </row>
    <row r="413" spans="1:7" x14ac:dyDescent="0.25">
      <c r="A413" s="337">
        <v>40770</v>
      </c>
      <c r="B413" s="334">
        <v>82.53</v>
      </c>
      <c r="C413" s="334"/>
      <c r="D413" s="334"/>
      <c r="E413" s="334"/>
      <c r="F413" s="334"/>
      <c r="G413" s="334"/>
    </row>
    <row r="414" spans="1:7" x14ac:dyDescent="0.25">
      <c r="A414" s="337">
        <v>40801</v>
      </c>
      <c r="B414" s="334">
        <v>82.19</v>
      </c>
      <c r="C414" s="334"/>
      <c r="D414" s="334"/>
      <c r="E414" s="334"/>
      <c r="F414" s="334"/>
      <c r="G414" s="334"/>
    </row>
    <row r="415" spans="1:7" x14ac:dyDescent="0.25">
      <c r="A415" s="337">
        <v>40831</v>
      </c>
      <c r="B415" s="334">
        <v>83.08</v>
      </c>
      <c r="C415" s="334"/>
      <c r="D415" s="334"/>
      <c r="E415" s="334"/>
      <c r="F415" s="334"/>
      <c r="G415" s="334"/>
    </row>
    <row r="416" spans="1:7" x14ac:dyDescent="0.25">
      <c r="A416" s="337">
        <v>40862</v>
      </c>
      <c r="B416" s="334">
        <v>93.78</v>
      </c>
      <c r="C416" s="334"/>
      <c r="D416" s="334"/>
      <c r="E416" s="334"/>
      <c r="F416" s="334"/>
      <c r="G416" s="334"/>
    </row>
    <row r="417" spans="1:7" x14ac:dyDescent="0.25">
      <c r="A417" s="337">
        <v>40892</v>
      </c>
      <c r="B417" s="334">
        <v>95.52</v>
      </c>
      <c r="C417" s="334"/>
      <c r="D417" s="334"/>
      <c r="E417" s="334"/>
      <c r="F417" s="334"/>
      <c r="G417" s="334"/>
    </row>
    <row r="418" spans="1:7" x14ac:dyDescent="0.25">
      <c r="A418" s="337">
        <v>40923</v>
      </c>
      <c r="B418" s="334">
        <v>96.61</v>
      </c>
      <c r="C418" s="334"/>
      <c r="D418" s="334"/>
      <c r="E418" s="334"/>
      <c r="F418" s="334"/>
      <c r="G418" s="334"/>
    </row>
    <row r="419" spans="1:7" x14ac:dyDescent="0.25">
      <c r="A419" s="337">
        <v>40954</v>
      </c>
      <c r="B419" s="334">
        <v>98.17</v>
      </c>
      <c r="C419" s="334"/>
      <c r="D419" s="334"/>
      <c r="E419" s="334"/>
      <c r="F419" s="334"/>
      <c r="G419" s="334"/>
    </row>
    <row r="420" spans="1:7" x14ac:dyDescent="0.25">
      <c r="A420" s="337">
        <v>40983</v>
      </c>
      <c r="B420" s="334">
        <v>100.66</v>
      </c>
      <c r="C420" s="334"/>
      <c r="D420" s="334"/>
      <c r="E420" s="334"/>
      <c r="F420" s="334"/>
      <c r="G420" s="334"/>
    </row>
    <row r="421" spans="1:7" x14ac:dyDescent="0.25">
      <c r="A421" s="337">
        <v>41014</v>
      </c>
      <c r="B421" s="334">
        <v>96.75</v>
      </c>
      <c r="C421" s="334"/>
      <c r="D421" s="334"/>
      <c r="E421" s="334"/>
      <c r="F421" s="334"/>
      <c r="G421" s="334"/>
    </row>
    <row r="422" spans="1:7" x14ac:dyDescent="0.25">
      <c r="A422" s="337">
        <v>41044</v>
      </c>
      <c r="B422" s="334">
        <v>86.3</v>
      </c>
      <c r="C422" s="334"/>
      <c r="D422" s="334"/>
      <c r="E422" s="334"/>
      <c r="F422" s="334"/>
      <c r="G422" s="334"/>
    </row>
    <row r="423" spans="1:7" x14ac:dyDescent="0.25">
      <c r="A423" s="337">
        <v>41075</v>
      </c>
      <c r="B423" s="334">
        <v>75.349999999999994</v>
      </c>
      <c r="C423" s="334"/>
      <c r="D423" s="334"/>
      <c r="E423" s="334"/>
      <c r="F423" s="334"/>
      <c r="G423" s="334"/>
    </row>
    <row r="424" spans="1:7" x14ac:dyDescent="0.25">
      <c r="A424" s="337">
        <v>41105</v>
      </c>
      <c r="B424" s="334">
        <v>81.87</v>
      </c>
      <c r="C424" s="334"/>
      <c r="D424" s="334"/>
      <c r="E424" s="334"/>
      <c r="F424" s="334"/>
      <c r="G424" s="334"/>
    </row>
    <row r="425" spans="1:7" x14ac:dyDescent="0.25">
      <c r="A425" s="337">
        <v>41136</v>
      </c>
      <c r="B425" s="334">
        <v>89.04</v>
      </c>
      <c r="C425" s="334"/>
      <c r="D425" s="334"/>
      <c r="E425" s="334"/>
      <c r="F425" s="334"/>
      <c r="G425" s="334"/>
    </row>
    <row r="426" spans="1:7" x14ac:dyDescent="0.25">
      <c r="A426" s="337">
        <v>41167</v>
      </c>
      <c r="B426" s="334">
        <v>90.31</v>
      </c>
      <c r="C426" s="334"/>
      <c r="D426" s="334"/>
      <c r="E426" s="334"/>
      <c r="F426" s="334"/>
      <c r="G426" s="334"/>
    </row>
    <row r="427" spans="1:7" x14ac:dyDescent="0.25">
      <c r="A427" s="337">
        <v>41197</v>
      </c>
      <c r="B427" s="334">
        <v>84.56</v>
      </c>
      <c r="C427" s="334"/>
      <c r="D427" s="334"/>
      <c r="E427" s="334"/>
      <c r="F427" s="334"/>
      <c r="G427" s="334"/>
    </row>
    <row r="428" spans="1:7" x14ac:dyDescent="0.25">
      <c r="A428" s="337">
        <v>41228</v>
      </c>
      <c r="B428" s="334">
        <v>80.92</v>
      </c>
      <c r="C428" s="334"/>
      <c r="D428" s="334"/>
      <c r="E428" s="334"/>
      <c r="F428" s="334"/>
      <c r="G428" s="334"/>
    </row>
    <row r="429" spans="1:7" x14ac:dyDescent="0.25">
      <c r="A429" s="337">
        <v>41258</v>
      </c>
      <c r="B429" s="334">
        <v>78.62</v>
      </c>
      <c r="C429" s="334"/>
      <c r="D429" s="334"/>
      <c r="E429" s="334"/>
      <c r="F429" s="334"/>
      <c r="G429" s="334"/>
    </row>
    <row r="430" spans="1:7" x14ac:dyDescent="0.25">
      <c r="A430" s="337">
        <v>41289</v>
      </c>
      <c r="B430" s="334">
        <v>80.81</v>
      </c>
      <c r="C430" s="334"/>
      <c r="D430" s="334"/>
      <c r="E430" s="334"/>
      <c r="F430" s="334"/>
      <c r="G430" s="334"/>
    </row>
    <row r="431" spans="1:7" x14ac:dyDescent="0.25">
      <c r="A431" s="337">
        <v>41320</v>
      </c>
      <c r="B431" s="334">
        <v>82</v>
      </c>
      <c r="C431" s="334"/>
      <c r="D431" s="334"/>
      <c r="E431" s="334"/>
      <c r="F431" s="334"/>
      <c r="G431" s="334"/>
    </row>
    <row r="432" spans="1:7" x14ac:dyDescent="0.25">
      <c r="A432" s="337">
        <v>41348</v>
      </c>
      <c r="B432" s="334">
        <v>87.23</v>
      </c>
      <c r="C432" s="334"/>
      <c r="D432" s="334"/>
      <c r="E432" s="334"/>
      <c r="F432" s="334"/>
      <c r="G432" s="334"/>
    </row>
    <row r="433" spans="1:7" x14ac:dyDescent="0.25">
      <c r="A433" s="337">
        <v>41379</v>
      </c>
      <c r="B433" s="334">
        <v>87.9</v>
      </c>
      <c r="C433" s="334"/>
      <c r="D433" s="334"/>
      <c r="E433" s="334"/>
      <c r="F433" s="334"/>
      <c r="G433" s="334"/>
    </row>
    <row r="434" spans="1:7" x14ac:dyDescent="0.25">
      <c r="A434" s="337">
        <v>41409</v>
      </c>
      <c r="B434" s="334">
        <v>90.92</v>
      </c>
      <c r="C434" s="334"/>
      <c r="D434" s="334"/>
      <c r="E434" s="334"/>
      <c r="F434" s="334"/>
      <c r="G434" s="334"/>
    </row>
    <row r="435" spans="1:7" x14ac:dyDescent="0.25">
      <c r="A435" s="337">
        <v>41440</v>
      </c>
      <c r="B435" s="334">
        <v>92.37</v>
      </c>
      <c r="C435" s="334"/>
      <c r="D435" s="334"/>
      <c r="E435" s="334"/>
      <c r="F435" s="334"/>
      <c r="G435" s="334"/>
    </row>
    <row r="436" spans="1:7" x14ac:dyDescent="0.25">
      <c r="A436" s="337">
        <v>41470</v>
      </c>
      <c r="B436" s="334">
        <v>101.48</v>
      </c>
      <c r="C436" s="334"/>
      <c r="D436" s="334"/>
      <c r="E436" s="334"/>
      <c r="F436" s="334"/>
      <c r="G436" s="334"/>
    </row>
    <row r="437" spans="1:7" x14ac:dyDescent="0.25">
      <c r="A437" s="337">
        <v>41501</v>
      </c>
      <c r="B437" s="334">
        <v>103.65</v>
      </c>
      <c r="C437" s="334"/>
      <c r="D437" s="334"/>
      <c r="E437" s="334"/>
      <c r="F437" s="334"/>
      <c r="G437" s="334"/>
    </row>
    <row r="438" spans="1:7" x14ac:dyDescent="0.25">
      <c r="A438" s="337">
        <v>41532</v>
      </c>
      <c r="B438" s="334">
        <v>100.61</v>
      </c>
      <c r="C438" s="334"/>
      <c r="D438" s="334"/>
      <c r="E438" s="334"/>
      <c r="F438" s="334"/>
      <c r="G438" s="334"/>
    </row>
    <row r="439" spans="1:7" x14ac:dyDescent="0.25">
      <c r="A439" s="337">
        <v>41562</v>
      </c>
      <c r="B439" s="334">
        <v>97.96</v>
      </c>
      <c r="C439" s="334"/>
      <c r="D439" s="334"/>
      <c r="E439" s="334"/>
      <c r="F439" s="334"/>
      <c r="G439" s="334"/>
    </row>
    <row r="440" spans="1:7" x14ac:dyDescent="0.25">
      <c r="A440" s="337">
        <v>41593</v>
      </c>
      <c r="B440" s="334">
        <v>87.79</v>
      </c>
      <c r="C440" s="334"/>
      <c r="D440" s="334"/>
      <c r="E440" s="334"/>
      <c r="F440" s="334"/>
      <c r="G440" s="334"/>
    </row>
    <row r="441" spans="1:7" x14ac:dyDescent="0.25">
      <c r="A441" s="337">
        <v>41623</v>
      </c>
      <c r="B441" s="334">
        <v>89.85</v>
      </c>
      <c r="C441" s="334"/>
      <c r="D441" s="334"/>
      <c r="E441" s="334"/>
      <c r="F441" s="334"/>
      <c r="G441" s="334"/>
    </row>
    <row r="442" spans="1:7" x14ac:dyDescent="0.25">
      <c r="A442" s="337">
        <v>41654</v>
      </c>
      <c r="B442" s="334">
        <v>88.63</v>
      </c>
      <c r="C442" s="334"/>
      <c r="D442" s="334"/>
      <c r="E442" s="334"/>
      <c r="F442" s="334"/>
      <c r="G442" s="334"/>
    </row>
    <row r="443" spans="1:7" x14ac:dyDescent="0.25">
      <c r="A443" s="337">
        <v>41685</v>
      </c>
      <c r="B443" s="334">
        <v>94.46</v>
      </c>
      <c r="C443" s="334"/>
      <c r="D443" s="334"/>
      <c r="E443" s="334"/>
      <c r="F443" s="334"/>
      <c r="G443" s="334"/>
    </row>
    <row r="444" spans="1:7" x14ac:dyDescent="0.25">
      <c r="A444" s="337">
        <v>41713</v>
      </c>
      <c r="B444" s="334">
        <v>93.08</v>
      </c>
      <c r="C444" s="334"/>
      <c r="D444" s="334"/>
      <c r="E444" s="334"/>
      <c r="F444" s="334"/>
      <c r="G444" s="334"/>
    </row>
    <row r="445" spans="1:7" x14ac:dyDescent="0.25">
      <c r="A445" s="337">
        <v>41744</v>
      </c>
      <c r="B445" s="334">
        <v>91.43</v>
      </c>
      <c r="C445" s="334"/>
      <c r="D445" s="334"/>
      <c r="E445" s="334"/>
      <c r="F445" s="334"/>
      <c r="G445" s="334"/>
    </row>
    <row r="446" spans="1:7" x14ac:dyDescent="0.25">
      <c r="A446" s="337">
        <v>41774</v>
      </c>
      <c r="B446" s="334">
        <v>91.17</v>
      </c>
      <c r="C446" s="334"/>
      <c r="D446" s="334"/>
      <c r="E446" s="334"/>
      <c r="F446" s="334"/>
      <c r="G446" s="334"/>
    </row>
    <row r="447" spans="1:7" x14ac:dyDescent="0.25">
      <c r="A447" s="337">
        <v>41805</v>
      </c>
      <c r="B447" s="334">
        <v>94.79</v>
      </c>
      <c r="C447" s="334"/>
      <c r="D447" s="334"/>
      <c r="E447" s="334"/>
      <c r="F447" s="334"/>
      <c r="G447" s="334"/>
    </row>
    <row r="448" spans="1:7" x14ac:dyDescent="0.25">
      <c r="A448" s="337">
        <v>41835</v>
      </c>
      <c r="B448" s="334">
        <v>93.94</v>
      </c>
      <c r="C448" s="334"/>
      <c r="D448" s="334"/>
      <c r="E448" s="334"/>
      <c r="F448" s="334"/>
      <c r="G448" s="334"/>
    </row>
    <row r="449" spans="1:7" x14ac:dyDescent="0.25">
      <c r="A449" s="337">
        <v>41866</v>
      </c>
      <c r="B449" s="334">
        <v>84.42</v>
      </c>
      <c r="C449" s="334"/>
      <c r="D449" s="334"/>
      <c r="E449" s="334"/>
      <c r="F449" s="334"/>
      <c r="G449" s="334"/>
    </row>
    <row r="450" spans="1:7" x14ac:dyDescent="0.25">
      <c r="A450" s="337">
        <v>41897</v>
      </c>
      <c r="B450" s="334">
        <v>79.819999999999993</v>
      </c>
      <c r="C450" s="334"/>
      <c r="D450" s="334"/>
      <c r="E450" s="334"/>
      <c r="F450" s="334"/>
      <c r="G450" s="334"/>
    </row>
    <row r="451" spans="1:7" x14ac:dyDescent="0.25">
      <c r="A451" s="337">
        <v>41927</v>
      </c>
      <c r="B451" s="334">
        <v>74.099999999999994</v>
      </c>
      <c r="C451" s="334"/>
      <c r="D451" s="334"/>
      <c r="E451" s="334"/>
      <c r="F451" s="334"/>
      <c r="G451" s="334"/>
    </row>
    <row r="452" spans="1:7" x14ac:dyDescent="0.25">
      <c r="A452" s="337">
        <v>41958</v>
      </c>
      <c r="B452" s="334">
        <v>67.319999999999993</v>
      </c>
      <c r="C452" s="334"/>
      <c r="D452" s="334"/>
      <c r="E452" s="334"/>
      <c r="F452" s="334"/>
      <c r="G452" s="334"/>
    </row>
    <row r="453" spans="1:7" x14ac:dyDescent="0.25">
      <c r="A453" s="337">
        <v>41988</v>
      </c>
      <c r="B453" s="334">
        <v>54.25</v>
      </c>
      <c r="C453" s="334"/>
      <c r="D453" s="334"/>
      <c r="E453" s="334"/>
      <c r="F453" s="334"/>
      <c r="G453" s="334"/>
    </row>
    <row r="454" spans="1:7" x14ac:dyDescent="0.25">
      <c r="A454" s="337">
        <v>42019</v>
      </c>
      <c r="B454" s="334">
        <v>42.63</v>
      </c>
      <c r="C454" s="334"/>
      <c r="D454" s="334"/>
      <c r="E454" s="334"/>
      <c r="F454" s="334"/>
      <c r="G454" s="334"/>
    </row>
    <row r="455" spans="1:7" x14ac:dyDescent="0.25">
      <c r="A455" s="337">
        <v>42050</v>
      </c>
      <c r="B455" s="334">
        <v>44.37</v>
      </c>
      <c r="C455" s="334"/>
      <c r="D455" s="334"/>
      <c r="E455" s="334"/>
      <c r="F455" s="334"/>
      <c r="G455" s="334"/>
    </row>
    <row r="456" spans="1:7" x14ac:dyDescent="0.25">
      <c r="A456" s="337">
        <v>42078</v>
      </c>
      <c r="B456" s="334">
        <v>42.11</v>
      </c>
      <c r="C456" s="334"/>
      <c r="D456" s="334"/>
      <c r="E456" s="334"/>
      <c r="F456" s="334"/>
      <c r="G456" s="334"/>
    </row>
    <row r="457" spans="1:7" x14ac:dyDescent="0.25">
      <c r="A457" s="337">
        <v>42109</v>
      </c>
      <c r="B457" s="334">
        <v>48.19</v>
      </c>
      <c r="C457" s="334"/>
      <c r="D457" s="334"/>
      <c r="E457" s="334"/>
      <c r="F457" s="334"/>
      <c r="G457" s="334"/>
    </row>
    <row r="458" spans="1:7" x14ac:dyDescent="0.25">
      <c r="A458" s="337">
        <v>42139</v>
      </c>
      <c r="B458" s="334">
        <v>53.98</v>
      </c>
      <c r="C458" s="334"/>
      <c r="D458" s="334"/>
      <c r="E458" s="334"/>
      <c r="F458" s="334"/>
      <c r="G458" s="334"/>
    </row>
    <row r="459" spans="1:7" x14ac:dyDescent="0.25">
      <c r="A459" s="337">
        <v>42170</v>
      </c>
      <c r="B459" s="334">
        <v>54.77</v>
      </c>
      <c r="C459" s="334"/>
      <c r="D459" s="334"/>
      <c r="E459" s="334"/>
      <c r="F459" s="334"/>
      <c r="G459" s="334"/>
    </row>
    <row r="460" spans="1:7" x14ac:dyDescent="0.25">
      <c r="A460" s="337">
        <v>42200</v>
      </c>
      <c r="B460" s="334">
        <v>47.29</v>
      </c>
      <c r="C460" s="334"/>
      <c r="D460" s="334"/>
      <c r="E460" s="334"/>
      <c r="F460" s="334"/>
      <c r="G460" s="334"/>
    </row>
    <row r="461" spans="1:7" x14ac:dyDescent="0.25">
      <c r="A461" s="337">
        <v>42231</v>
      </c>
      <c r="B461" s="334">
        <v>39.979999999999997</v>
      </c>
      <c r="C461" s="334"/>
      <c r="D461" s="334"/>
      <c r="E461" s="334"/>
      <c r="F461" s="334"/>
      <c r="G461" s="334"/>
    </row>
    <row r="462" spans="1:7" x14ac:dyDescent="0.25">
      <c r="A462" s="337">
        <v>42262</v>
      </c>
      <c r="B462" s="334">
        <v>43.03</v>
      </c>
      <c r="C462" s="334"/>
      <c r="D462" s="334"/>
      <c r="E462" s="334"/>
      <c r="F462" s="334"/>
      <c r="G462" s="334"/>
    </row>
    <row r="463" spans="1:7" x14ac:dyDescent="0.25">
      <c r="A463" s="337">
        <v>42292</v>
      </c>
      <c r="B463" s="334">
        <v>43.81</v>
      </c>
      <c r="C463" s="334"/>
      <c r="D463" s="334"/>
      <c r="E463" s="334"/>
      <c r="F463" s="334"/>
      <c r="G463" s="334"/>
    </row>
    <row r="464" spans="1:7" x14ac:dyDescent="0.25">
      <c r="A464" s="337">
        <v>42323</v>
      </c>
      <c r="B464" s="334">
        <v>38.630000000000003</v>
      </c>
      <c r="C464" s="334"/>
      <c r="D464" s="334"/>
      <c r="E464" s="334"/>
      <c r="F464" s="334"/>
      <c r="G464" s="334"/>
    </row>
    <row r="465" spans="1:7" x14ac:dyDescent="0.25">
      <c r="A465" s="337">
        <v>42353</v>
      </c>
      <c r="B465" s="334">
        <v>31.98</v>
      </c>
      <c r="C465" s="334"/>
      <c r="D465" s="334"/>
      <c r="E465" s="334"/>
      <c r="F465" s="334"/>
      <c r="G465" s="334"/>
    </row>
    <row r="466" spans="1:7" x14ac:dyDescent="0.25">
      <c r="A466" s="337">
        <v>42384</v>
      </c>
      <c r="B466" s="334">
        <v>27.48</v>
      </c>
      <c r="C466" s="334"/>
      <c r="D466" s="334"/>
      <c r="E466" s="334"/>
      <c r="F466" s="334"/>
      <c r="G466" s="334"/>
    </row>
    <row r="467" spans="1:7" x14ac:dyDescent="0.25">
      <c r="A467" s="337">
        <v>42415</v>
      </c>
      <c r="B467" s="334">
        <v>26.6</v>
      </c>
      <c r="C467" s="334"/>
      <c r="D467" s="334"/>
      <c r="E467" s="334"/>
      <c r="F467" s="334"/>
      <c r="G467" s="334"/>
    </row>
    <row r="468" spans="1:7" x14ac:dyDescent="0.25">
      <c r="A468" s="337">
        <v>42444</v>
      </c>
      <c r="B468" s="334">
        <v>32.92</v>
      </c>
      <c r="C468" s="334"/>
      <c r="D468" s="334"/>
      <c r="E468" s="334"/>
      <c r="F468" s="334"/>
      <c r="G468" s="334"/>
    </row>
    <row r="469" spans="1:7" x14ac:dyDescent="0.25">
      <c r="A469" s="337">
        <v>42475</v>
      </c>
      <c r="B469" s="334">
        <v>36.15</v>
      </c>
      <c r="C469" s="334"/>
      <c r="D469" s="334"/>
      <c r="E469" s="334"/>
      <c r="F469" s="334"/>
      <c r="G469" s="334"/>
    </row>
    <row r="470" spans="1:7" x14ac:dyDescent="0.25">
      <c r="A470" s="337">
        <v>42505</v>
      </c>
      <c r="B470" s="334">
        <v>42.11</v>
      </c>
      <c r="C470" s="334"/>
      <c r="D470" s="334"/>
      <c r="E470" s="334"/>
      <c r="F470" s="334"/>
      <c r="G470" s="334"/>
    </row>
    <row r="471" spans="1:7" x14ac:dyDescent="0.25">
      <c r="A471" s="337">
        <v>42536</v>
      </c>
      <c r="B471" s="334">
        <v>44.99</v>
      </c>
      <c r="C471" s="334"/>
      <c r="D471" s="334"/>
      <c r="E471" s="334"/>
      <c r="F471" s="334"/>
      <c r="G471" s="334"/>
    </row>
    <row r="472" spans="1:7" x14ac:dyDescent="0.25">
      <c r="A472" s="337">
        <v>42566</v>
      </c>
      <c r="B472" s="334">
        <v>41.25</v>
      </c>
      <c r="C472" s="334"/>
      <c r="D472" s="334"/>
      <c r="E472" s="334"/>
      <c r="F472" s="334"/>
      <c r="G472" s="334"/>
    </row>
    <row r="473" spans="1:7" x14ac:dyDescent="0.25">
      <c r="A473" s="337">
        <v>42597</v>
      </c>
      <c r="B473" s="334">
        <v>41.18</v>
      </c>
      <c r="C473" s="334"/>
      <c r="D473" s="334"/>
      <c r="E473" s="334"/>
      <c r="F473" s="334"/>
      <c r="G473" s="334"/>
    </row>
    <row r="474" spans="1:7" x14ac:dyDescent="0.25">
      <c r="A474" s="337">
        <v>42628</v>
      </c>
      <c r="B474" s="334">
        <v>41.35</v>
      </c>
      <c r="C474" s="334"/>
      <c r="D474" s="334"/>
      <c r="E474" s="334"/>
      <c r="F474" s="334"/>
      <c r="G474" s="334"/>
    </row>
    <row r="475" spans="1:7" x14ac:dyDescent="0.25">
      <c r="A475" s="337">
        <v>42658</v>
      </c>
      <c r="B475" s="334">
        <v>45.79</v>
      </c>
      <c r="C475" s="334"/>
      <c r="D475" s="334"/>
      <c r="E475" s="334"/>
      <c r="F475" s="334"/>
      <c r="G475" s="334"/>
    </row>
    <row r="476" spans="1:7" x14ac:dyDescent="0.25">
      <c r="A476" s="337">
        <v>42689</v>
      </c>
      <c r="B476" s="334">
        <v>42.25</v>
      </c>
      <c r="C476" s="334"/>
      <c r="D476" s="334"/>
      <c r="E476" s="334"/>
      <c r="F476" s="334"/>
      <c r="G476" s="334"/>
    </row>
    <row r="477" spans="1:7" x14ac:dyDescent="0.25">
      <c r="A477" s="337">
        <v>42719</v>
      </c>
      <c r="B477" s="334">
        <v>48.74</v>
      </c>
      <c r="C477" s="334"/>
      <c r="D477" s="334"/>
      <c r="E477" s="334"/>
      <c r="F477" s="334"/>
      <c r="G477" s="334"/>
    </row>
    <row r="478" spans="1:7" x14ac:dyDescent="0.25">
      <c r="A478" s="337">
        <v>42750</v>
      </c>
      <c r="B478" s="334">
        <v>49.44</v>
      </c>
      <c r="C478" s="334"/>
      <c r="D478" s="334"/>
      <c r="E478" s="334"/>
      <c r="F478" s="334"/>
      <c r="G478" s="334"/>
    </row>
    <row r="479" spans="1:7" x14ac:dyDescent="0.25">
      <c r="A479" s="337">
        <v>42781</v>
      </c>
      <c r="B479" s="334">
        <v>50.46</v>
      </c>
      <c r="C479" s="334"/>
      <c r="D479" s="334"/>
      <c r="E479" s="334"/>
      <c r="F479" s="334"/>
      <c r="G479" s="334"/>
    </row>
    <row r="480" spans="1:7" x14ac:dyDescent="0.25">
      <c r="A480" s="337">
        <v>42809</v>
      </c>
      <c r="B480" s="334">
        <v>46.72</v>
      </c>
      <c r="C480" s="334"/>
      <c r="D480" s="334"/>
      <c r="E480" s="334"/>
      <c r="F480" s="334"/>
      <c r="G480" s="334"/>
    </row>
    <row r="481" spans="1:7" x14ac:dyDescent="0.25">
      <c r="A481" s="337">
        <v>42840</v>
      </c>
      <c r="B481" s="334">
        <v>47.29</v>
      </c>
      <c r="C481" s="334"/>
      <c r="D481" s="334"/>
      <c r="E481" s="334"/>
      <c r="F481" s="334"/>
      <c r="G481" s="334"/>
    </row>
    <row r="482" spans="1:7" x14ac:dyDescent="0.25">
      <c r="A482" s="337">
        <v>42870</v>
      </c>
      <c r="B482" s="334">
        <v>44.56</v>
      </c>
      <c r="C482" s="334"/>
      <c r="D482" s="334"/>
      <c r="E482" s="334"/>
      <c r="F482" s="334"/>
      <c r="G482" s="334"/>
    </row>
    <row r="483" spans="1:7" x14ac:dyDescent="0.25">
      <c r="A483" s="337">
        <v>42901</v>
      </c>
      <c r="B483" s="334">
        <v>41.75</v>
      </c>
      <c r="C483" s="334"/>
      <c r="D483" s="334"/>
      <c r="E483" s="334"/>
      <c r="F483" s="334"/>
      <c r="G483" s="334"/>
    </row>
    <row r="484" spans="1:7" x14ac:dyDescent="0.25">
      <c r="A484" s="337">
        <v>42931</v>
      </c>
      <c r="B484" s="334">
        <v>43.33</v>
      </c>
      <c r="C484" s="334"/>
      <c r="D484" s="334"/>
      <c r="E484" s="334"/>
      <c r="F484" s="334"/>
      <c r="G484" s="334"/>
    </row>
    <row r="485" spans="1:7" x14ac:dyDescent="0.25">
      <c r="A485" s="337">
        <v>42962</v>
      </c>
      <c r="B485" s="334">
        <v>44.79</v>
      </c>
      <c r="C485" s="334"/>
      <c r="D485" s="334"/>
      <c r="E485" s="334"/>
      <c r="F485" s="334"/>
      <c r="G485" s="334"/>
    </row>
    <row r="486" spans="1:7" x14ac:dyDescent="0.25">
      <c r="A486" s="337">
        <v>42993</v>
      </c>
      <c r="B486" s="334">
        <v>46.76</v>
      </c>
      <c r="C486" s="334"/>
      <c r="D486" s="334"/>
      <c r="E486" s="334"/>
      <c r="F486" s="334"/>
      <c r="G486" s="334"/>
    </row>
    <row r="487" spans="1:7" x14ac:dyDescent="0.25">
      <c r="A487" s="337">
        <v>43023</v>
      </c>
      <c r="B487" s="334">
        <v>47.75</v>
      </c>
      <c r="C487" s="334"/>
      <c r="D487" s="334"/>
      <c r="E487" s="334"/>
      <c r="F487" s="334"/>
      <c r="G487" s="334"/>
    </row>
    <row r="488" spans="1:7" x14ac:dyDescent="0.25">
      <c r="A488" s="337">
        <v>43054</v>
      </c>
      <c r="B488" s="334">
        <v>53.95</v>
      </c>
      <c r="C488" s="334"/>
      <c r="D488" s="334"/>
      <c r="E488" s="334"/>
      <c r="F488" s="334"/>
      <c r="G488" s="334"/>
    </row>
    <row r="489" spans="1:7" x14ac:dyDescent="0.25">
      <c r="A489" s="337">
        <v>43084</v>
      </c>
      <c r="B489" s="334">
        <v>55.77</v>
      </c>
      <c r="C489" s="334"/>
      <c r="D489" s="334"/>
      <c r="E489" s="334"/>
      <c r="F489" s="334"/>
      <c r="G489" s="334"/>
    </row>
    <row r="490" spans="1:7" x14ac:dyDescent="0.25">
      <c r="A490" s="337">
        <v>43115</v>
      </c>
      <c r="B490" s="334">
        <v>61.57</v>
      </c>
      <c r="C490" s="334"/>
      <c r="D490" s="334"/>
      <c r="E490" s="334"/>
      <c r="F490" s="334"/>
      <c r="G490" s="334"/>
    </row>
    <row r="491" spans="1:7" x14ac:dyDescent="0.25">
      <c r="A491" s="337">
        <v>43146</v>
      </c>
      <c r="B491" s="334">
        <v>60.85</v>
      </c>
      <c r="C491" s="334"/>
      <c r="D491" s="334"/>
      <c r="E491" s="334"/>
      <c r="F491" s="334"/>
      <c r="G491" s="334"/>
    </row>
    <row r="492" spans="1:7" x14ac:dyDescent="0.25">
      <c r="A492" s="337">
        <v>43174</v>
      </c>
      <c r="B492" s="334">
        <v>60.51</v>
      </c>
      <c r="C492" s="334"/>
      <c r="D492" s="334"/>
      <c r="E492" s="334"/>
      <c r="F492" s="334"/>
      <c r="G492" s="334"/>
    </row>
    <row r="493" spans="1:7" x14ac:dyDescent="0.25">
      <c r="A493" s="337">
        <v>43205</v>
      </c>
      <c r="B493" s="334">
        <v>62.86</v>
      </c>
      <c r="C493" s="334"/>
      <c r="D493" s="334"/>
      <c r="E493" s="334"/>
      <c r="F493" s="334"/>
      <c r="G493" s="334"/>
    </row>
    <row r="494" spans="1:7" x14ac:dyDescent="0.25">
      <c r="A494" s="337">
        <v>43235</v>
      </c>
      <c r="B494" s="334">
        <v>63.02</v>
      </c>
      <c r="C494" s="334"/>
      <c r="D494" s="334"/>
      <c r="E494" s="334"/>
      <c r="F494" s="334"/>
      <c r="G494" s="334"/>
    </row>
    <row r="495" spans="1:7" x14ac:dyDescent="0.25">
      <c r="A495" s="337">
        <v>43266</v>
      </c>
      <c r="B495" s="334">
        <v>55.59</v>
      </c>
      <c r="C495" s="334"/>
      <c r="D495" s="334"/>
      <c r="E495" s="334"/>
      <c r="F495" s="334"/>
      <c r="G495" s="334"/>
    </row>
    <row r="496" spans="1:7" x14ac:dyDescent="0.25">
      <c r="A496" s="337">
        <v>43296</v>
      </c>
      <c r="B496" s="334">
        <v>60.02</v>
      </c>
      <c r="C496" s="334"/>
      <c r="D496" s="334"/>
      <c r="E496" s="334"/>
      <c r="F496" s="334"/>
      <c r="G496" s="334"/>
    </row>
    <row r="497" spans="1:7" x14ac:dyDescent="0.25">
      <c r="A497" s="337">
        <v>43327</v>
      </c>
      <c r="B497" s="334">
        <v>54.43</v>
      </c>
      <c r="C497" s="334"/>
      <c r="D497" s="334"/>
      <c r="E497" s="334"/>
      <c r="F497" s="334"/>
      <c r="G497" s="334"/>
    </row>
    <row r="498" spans="1:7" x14ac:dyDescent="0.25">
      <c r="A498" s="337">
        <v>43358</v>
      </c>
      <c r="B498" s="334">
        <v>52.97</v>
      </c>
      <c r="C498" s="334"/>
      <c r="D498" s="334"/>
      <c r="E498" s="334"/>
      <c r="F498" s="334"/>
      <c r="G498" s="334"/>
    </row>
    <row r="499" spans="1:7" x14ac:dyDescent="0.25">
      <c r="A499" s="337">
        <v>43388</v>
      </c>
      <c r="B499" s="334">
        <v>54.87</v>
      </c>
      <c r="C499" s="334"/>
      <c r="D499" s="334"/>
      <c r="E499" s="334"/>
      <c r="F499" s="334"/>
      <c r="G499" s="334"/>
    </row>
    <row r="500" spans="1:7" x14ac:dyDescent="0.25">
      <c r="A500" s="337">
        <v>43419</v>
      </c>
      <c r="B500" s="334">
        <v>48.55</v>
      </c>
      <c r="C500" s="334"/>
      <c r="D500" s="334"/>
      <c r="E500" s="334"/>
      <c r="F500" s="334"/>
      <c r="G500" s="334"/>
    </row>
    <row r="501" spans="1:7" x14ac:dyDescent="0.25">
      <c r="A501" s="337">
        <v>43449</v>
      </c>
      <c r="B501" s="334">
        <v>43.59</v>
      </c>
      <c r="C501" s="334"/>
      <c r="D501" s="334"/>
      <c r="E501" s="334"/>
      <c r="F501" s="334"/>
      <c r="G501" s="334"/>
    </row>
    <row r="502" spans="1:7" x14ac:dyDescent="0.25">
      <c r="A502" s="337">
        <v>43480</v>
      </c>
      <c r="B502" s="334">
        <v>41.86</v>
      </c>
      <c r="C502" s="334"/>
      <c r="D502" s="334"/>
      <c r="E502" s="334"/>
      <c r="F502" s="334"/>
      <c r="G502" s="334"/>
    </row>
    <row r="503" spans="1:7" x14ac:dyDescent="0.25">
      <c r="A503" s="337">
        <v>43511</v>
      </c>
      <c r="B503" s="334">
        <v>47.93</v>
      </c>
      <c r="C503" s="334"/>
      <c r="D503" s="334"/>
      <c r="E503" s="334"/>
      <c r="F503" s="334"/>
      <c r="G503" s="334"/>
    </row>
    <row r="504" spans="1:7" x14ac:dyDescent="0.25">
      <c r="A504" s="337">
        <v>43539</v>
      </c>
      <c r="B504" s="334">
        <v>54.89</v>
      </c>
      <c r="C504" s="334"/>
      <c r="D504" s="334"/>
      <c r="E504" s="334"/>
      <c r="F504" s="334"/>
      <c r="G504" s="334"/>
    </row>
    <row r="505" spans="1:7" x14ac:dyDescent="0.25">
      <c r="A505" s="337">
        <v>43570</v>
      </c>
      <c r="B505" s="334">
        <v>60.16</v>
      </c>
      <c r="C505" s="334"/>
      <c r="D505" s="334"/>
      <c r="E505" s="334"/>
      <c r="F505" s="334"/>
      <c r="G505" s="334"/>
    </row>
    <row r="506" spans="1:7" x14ac:dyDescent="0.25">
      <c r="A506" s="337">
        <v>43600</v>
      </c>
      <c r="B506" s="334">
        <v>55.39</v>
      </c>
      <c r="C506" s="334"/>
      <c r="D506" s="334"/>
      <c r="E506" s="334"/>
      <c r="F506" s="334"/>
      <c r="G506" s="334"/>
    </row>
    <row r="507" spans="1:7" x14ac:dyDescent="0.25">
      <c r="A507" s="337">
        <v>43631</v>
      </c>
      <c r="B507" s="334">
        <v>49.26</v>
      </c>
      <c r="C507" s="334"/>
      <c r="D507" s="334"/>
      <c r="E507" s="334"/>
      <c r="F507" s="334"/>
      <c r="G507" s="334"/>
    </row>
    <row r="508" spans="1:7" x14ac:dyDescent="0.25">
      <c r="A508" s="337">
        <v>43661</v>
      </c>
      <c r="B508" s="334">
        <v>53.94</v>
      </c>
      <c r="C508" s="334"/>
      <c r="D508" s="334"/>
      <c r="E508" s="334"/>
      <c r="F508" s="334"/>
      <c r="G508" s="334"/>
    </row>
    <row r="509" spans="1:7" x14ac:dyDescent="0.25">
      <c r="A509" s="337">
        <v>43692</v>
      </c>
      <c r="B509" s="334">
        <v>51.38</v>
      </c>
      <c r="C509" s="334"/>
      <c r="D509" s="334"/>
      <c r="E509" s="334"/>
      <c r="F509" s="334"/>
      <c r="G509" s="334"/>
    </row>
    <row r="510" spans="1:7" x14ac:dyDescent="0.25">
      <c r="A510" s="337">
        <v>43723</v>
      </c>
      <c r="B510" s="334">
        <v>53.89</v>
      </c>
      <c r="C510" s="334"/>
      <c r="D510" s="334"/>
      <c r="E510" s="334"/>
      <c r="F510" s="334"/>
      <c r="G510" s="334"/>
    </row>
    <row r="511" spans="1:7" x14ac:dyDescent="0.25">
      <c r="A511" s="337">
        <v>43753</v>
      </c>
      <c r="B511" s="334">
        <v>52.3</v>
      </c>
      <c r="C511" s="334"/>
      <c r="D511" s="334"/>
      <c r="E511" s="334"/>
      <c r="F511" s="334"/>
      <c r="G511" s="334"/>
    </row>
    <row r="512" spans="1:7" x14ac:dyDescent="0.25">
      <c r="A512" s="337">
        <v>43784</v>
      </c>
      <c r="B512" s="334">
        <v>55.37</v>
      </c>
      <c r="C512" s="334"/>
      <c r="D512" s="334"/>
      <c r="E512" s="334"/>
      <c r="F512" s="334"/>
      <c r="G512" s="334"/>
    </row>
    <row r="513" spans="1:7" x14ac:dyDescent="0.25">
      <c r="A513" s="337">
        <v>43814</v>
      </c>
      <c r="B513" s="334">
        <v>58.31</v>
      </c>
      <c r="C513" s="334"/>
      <c r="D513" s="334"/>
      <c r="E513" s="334"/>
      <c r="F513" s="334"/>
      <c r="G513" s="334"/>
    </row>
    <row r="514" spans="1:7" x14ac:dyDescent="0.25">
      <c r="A514" s="337">
        <v>43845</v>
      </c>
      <c r="B514" s="334">
        <v>56.55</v>
      </c>
      <c r="C514" s="334"/>
      <c r="D514" s="334"/>
      <c r="E514" s="334"/>
      <c r="F514" s="334"/>
      <c r="G514" s="334"/>
    </row>
    <row r="515" spans="1:7" x14ac:dyDescent="0.25">
      <c r="A515" s="337">
        <v>43876</v>
      </c>
      <c r="B515" s="334">
        <v>49.47</v>
      </c>
      <c r="C515" s="334"/>
      <c r="D515" s="334"/>
      <c r="E515" s="334"/>
      <c r="F515" s="334"/>
      <c r="G515" s="334"/>
    </row>
    <row r="516" spans="1:7" x14ac:dyDescent="0.25">
      <c r="A516" s="337">
        <v>43905</v>
      </c>
      <c r="B516" s="334">
        <v>29.89</v>
      </c>
      <c r="C516" s="334"/>
      <c r="D516" s="334"/>
      <c r="E516" s="334"/>
      <c r="F516" s="334"/>
      <c r="G516" s="334"/>
    </row>
    <row r="517" spans="1:7" x14ac:dyDescent="0.25">
      <c r="A517" s="337">
        <v>43936</v>
      </c>
      <c r="B517" s="334">
        <v>15.4</v>
      </c>
      <c r="C517" s="334"/>
      <c r="D517" s="334"/>
      <c r="E517" s="334"/>
      <c r="F517" s="334"/>
      <c r="G517" s="334"/>
    </row>
    <row r="518" spans="1:7" x14ac:dyDescent="0.25">
      <c r="A518" s="337">
        <v>43966</v>
      </c>
      <c r="B518" s="334">
        <v>17.25</v>
      </c>
      <c r="C518" s="334"/>
      <c r="D518" s="334"/>
      <c r="E518" s="334"/>
      <c r="F518" s="334"/>
      <c r="G518" s="334"/>
    </row>
    <row r="519" spans="1:7" x14ac:dyDescent="0.25">
      <c r="A519" s="337">
        <v>43997</v>
      </c>
      <c r="B519" s="334">
        <v>33.619999999999997</v>
      </c>
      <c r="C519" s="334"/>
      <c r="D519" s="334"/>
      <c r="E519" s="334"/>
      <c r="F519" s="334"/>
      <c r="G519" s="334"/>
    </row>
    <row r="520" spans="1:7" x14ac:dyDescent="0.25">
      <c r="A520" s="337">
        <v>44027</v>
      </c>
      <c r="B520" s="334">
        <v>37.729999999999997</v>
      </c>
      <c r="C520" s="334"/>
      <c r="D520" s="334"/>
      <c r="E520" s="334"/>
      <c r="F520" s="334"/>
      <c r="G520" s="334"/>
    </row>
    <row r="521" spans="1:7" x14ac:dyDescent="0.25">
      <c r="A521" s="337">
        <v>44058</v>
      </c>
      <c r="B521" s="334">
        <v>39.94</v>
      </c>
      <c r="C521" s="334"/>
      <c r="D521" s="334"/>
      <c r="E521" s="334"/>
      <c r="F521" s="334"/>
      <c r="G521" s="334"/>
    </row>
    <row r="522" spans="1:7" x14ac:dyDescent="0.25">
      <c r="A522" s="337">
        <v>44089</v>
      </c>
      <c r="B522" s="334">
        <v>37.299999999999997</v>
      </c>
      <c r="C522" s="334"/>
      <c r="D522" s="334"/>
      <c r="E522" s="334"/>
      <c r="F522" s="334"/>
      <c r="G522" s="334"/>
    </row>
    <row r="523" spans="1:7" x14ac:dyDescent="0.25">
      <c r="A523" s="337">
        <v>44119</v>
      </c>
      <c r="B523" s="334">
        <v>37.130000000000003</v>
      </c>
      <c r="C523" s="334"/>
      <c r="D523" s="334"/>
      <c r="E523" s="334"/>
      <c r="F523" s="334"/>
      <c r="G523" s="334"/>
    </row>
    <row r="524" spans="1:7" x14ac:dyDescent="0.25">
      <c r="A524" s="337">
        <v>44150</v>
      </c>
      <c r="B524" s="334">
        <v>38.659999999999997</v>
      </c>
      <c r="C524" s="334"/>
      <c r="D524" s="334"/>
      <c r="E524" s="334"/>
      <c r="F524" s="334"/>
      <c r="G524" s="334"/>
    </row>
    <row r="525" spans="1:7" x14ac:dyDescent="0.25">
      <c r="A525" s="337">
        <v>44180</v>
      </c>
      <c r="B525" s="334">
        <v>44.33</v>
      </c>
      <c r="C525" s="334"/>
      <c r="D525" s="334"/>
      <c r="E525" s="334"/>
      <c r="F525" s="334"/>
      <c r="G525" s="334"/>
    </row>
    <row r="526" spans="1:7" x14ac:dyDescent="0.25">
      <c r="A526" s="337">
        <v>44211</v>
      </c>
      <c r="B526" s="334">
        <v>49.86</v>
      </c>
      <c r="C526" s="334"/>
      <c r="D526" s="334"/>
      <c r="E526" s="334"/>
      <c r="F526" s="334"/>
      <c r="G526" s="334"/>
    </row>
    <row r="527" spans="1:7" x14ac:dyDescent="0.25">
      <c r="A527" s="337"/>
      <c r="B527" s="334"/>
      <c r="C527" s="334"/>
      <c r="D527" s="334"/>
      <c r="E527" s="334"/>
      <c r="F527" s="334"/>
      <c r="G527" s="334"/>
    </row>
    <row r="528" spans="1:7" x14ac:dyDescent="0.25">
      <c r="A528" s="338" t="s">
        <v>5215</v>
      </c>
      <c r="B528" s="338">
        <f>ROUND(SUM(B503:B526)/24,2)</f>
        <v>45</v>
      </c>
      <c r="C528" s="334"/>
      <c r="D528" s="334"/>
      <c r="E528" s="334"/>
      <c r="F528" s="334"/>
      <c r="G528" s="334"/>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9A2DC-71EC-449C-950C-ABFEE73051ED}">
  <dimension ref="A1:H295"/>
  <sheetViews>
    <sheetView topLeftCell="A260" workbookViewId="0">
      <selection activeCell="B295" sqref="B295"/>
    </sheetView>
  </sheetViews>
  <sheetFormatPr defaultRowHeight="15" x14ac:dyDescent="0.25"/>
  <cols>
    <col min="1" max="1" width="20.5703125" customWidth="1"/>
    <col min="2" max="2" width="23" customWidth="1"/>
  </cols>
  <sheetData>
    <row r="1" spans="1:8" ht="15.75" x14ac:dyDescent="0.25">
      <c r="A1" s="340"/>
      <c r="B1" s="341" t="s">
        <v>5216</v>
      </c>
      <c r="C1" s="342"/>
      <c r="D1" s="342"/>
      <c r="E1" s="342"/>
      <c r="F1" s="342"/>
      <c r="G1" s="342"/>
      <c r="H1" s="342"/>
    </row>
    <row r="2" spans="1:8" ht="24.75" x14ac:dyDescent="0.25">
      <c r="A2" s="343" t="s">
        <v>5212</v>
      </c>
      <c r="B2" s="343" t="s">
        <v>5217</v>
      </c>
      <c r="C2" s="342"/>
      <c r="D2" s="342"/>
      <c r="E2" s="342"/>
      <c r="F2" s="342"/>
      <c r="G2" s="342"/>
      <c r="H2" s="342"/>
    </row>
    <row r="3" spans="1:8" ht="48.75" customHeight="1" x14ac:dyDescent="0.25">
      <c r="A3" s="344" t="s">
        <v>5214</v>
      </c>
      <c r="B3" s="344" t="s">
        <v>5178</v>
      </c>
      <c r="C3" s="342"/>
      <c r="D3" s="342"/>
      <c r="E3" s="342"/>
      <c r="F3" s="342"/>
      <c r="G3" s="342"/>
      <c r="H3" s="342"/>
    </row>
    <row r="4" spans="1:8" x14ac:dyDescent="0.25">
      <c r="A4" s="345">
        <v>35445</v>
      </c>
      <c r="B4" s="342">
        <v>3.45</v>
      </c>
      <c r="C4" s="342"/>
      <c r="D4" s="342"/>
      <c r="E4" s="342"/>
      <c r="F4" s="342"/>
      <c r="G4" s="342"/>
      <c r="H4" s="342"/>
    </row>
    <row r="5" spans="1:8" x14ac:dyDescent="0.25">
      <c r="A5" s="345">
        <v>35476</v>
      </c>
      <c r="B5" s="342">
        <v>2.15</v>
      </c>
      <c r="C5" s="342"/>
      <c r="D5" s="342"/>
      <c r="E5" s="342"/>
      <c r="F5" s="342"/>
      <c r="G5" s="342"/>
      <c r="H5" s="342"/>
    </row>
    <row r="6" spans="1:8" x14ac:dyDescent="0.25">
      <c r="A6" s="345">
        <v>35504</v>
      </c>
      <c r="B6" s="342">
        <v>1.89</v>
      </c>
      <c r="C6" s="342"/>
      <c r="D6" s="342"/>
      <c r="E6" s="342"/>
      <c r="F6" s="342"/>
      <c r="G6" s="342"/>
      <c r="H6" s="342"/>
    </row>
    <row r="7" spans="1:8" x14ac:dyDescent="0.25">
      <c r="A7" s="345">
        <v>35535</v>
      </c>
      <c r="B7" s="342">
        <v>2.0299999999999998</v>
      </c>
      <c r="C7" s="342"/>
      <c r="D7" s="342"/>
      <c r="E7" s="342"/>
      <c r="F7" s="342"/>
      <c r="G7" s="342"/>
      <c r="H7" s="342"/>
    </row>
    <row r="8" spans="1:8" x14ac:dyDescent="0.25">
      <c r="A8" s="345">
        <v>35565</v>
      </c>
      <c r="B8" s="342">
        <v>2.25</v>
      </c>
      <c r="C8" s="342"/>
      <c r="D8" s="342"/>
      <c r="E8" s="342"/>
      <c r="F8" s="342"/>
      <c r="G8" s="342"/>
      <c r="H8" s="342"/>
    </row>
    <row r="9" spans="1:8" x14ac:dyDescent="0.25">
      <c r="A9" s="345">
        <v>35596</v>
      </c>
      <c r="B9" s="342">
        <v>2.2000000000000002</v>
      </c>
      <c r="C9" s="342"/>
      <c r="D9" s="342"/>
      <c r="E9" s="342"/>
      <c r="F9" s="342"/>
      <c r="G9" s="342"/>
      <c r="H9" s="342"/>
    </row>
    <row r="10" spans="1:8" x14ac:dyDescent="0.25">
      <c r="A10" s="345">
        <v>35626</v>
      </c>
      <c r="B10" s="342">
        <v>2.19</v>
      </c>
      <c r="C10" s="342"/>
      <c r="D10" s="342"/>
      <c r="E10" s="342"/>
      <c r="F10" s="342"/>
      <c r="G10" s="342"/>
      <c r="H10" s="342"/>
    </row>
    <row r="11" spans="1:8" x14ac:dyDescent="0.25">
      <c r="A11" s="345">
        <v>35657</v>
      </c>
      <c r="B11" s="342">
        <v>2.4900000000000002</v>
      </c>
      <c r="C11" s="342"/>
      <c r="D11" s="342"/>
      <c r="E11" s="342"/>
      <c r="F11" s="342"/>
      <c r="G11" s="342"/>
      <c r="H11" s="342"/>
    </row>
    <row r="12" spans="1:8" x14ac:dyDescent="0.25">
      <c r="A12" s="345">
        <v>35688</v>
      </c>
      <c r="B12" s="342">
        <v>2.88</v>
      </c>
      <c r="C12" s="342"/>
      <c r="D12" s="342"/>
      <c r="E12" s="342"/>
      <c r="F12" s="342"/>
      <c r="G12" s="342"/>
      <c r="H12" s="342"/>
    </row>
    <row r="13" spans="1:8" x14ac:dyDescent="0.25">
      <c r="A13" s="345">
        <v>35718</v>
      </c>
      <c r="B13" s="342">
        <v>3.07</v>
      </c>
      <c r="C13" s="342"/>
      <c r="D13" s="342"/>
      <c r="E13" s="342"/>
      <c r="F13" s="342"/>
      <c r="G13" s="342"/>
      <c r="H13" s="342"/>
    </row>
    <row r="14" spans="1:8" x14ac:dyDescent="0.25">
      <c r="A14" s="345">
        <v>35749</v>
      </c>
      <c r="B14" s="342">
        <v>3.01</v>
      </c>
      <c r="C14" s="342"/>
      <c r="D14" s="342"/>
      <c r="E14" s="342"/>
      <c r="F14" s="342"/>
      <c r="G14" s="342"/>
      <c r="H14" s="342"/>
    </row>
    <row r="15" spans="1:8" x14ac:dyDescent="0.25">
      <c r="A15" s="345">
        <v>35779</v>
      </c>
      <c r="B15" s="342">
        <v>2.35</v>
      </c>
      <c r="C15" s="342"/>
      <c r="D15" s="342"/>
      <c r="E15" s="342"/>
      <c r="F15" s="342"/>
      <c r="G15" s="342"/>
      <c r="H15" s="342"/>
    </row>
    <row r="16" spans="1:8" x14ac:dyDescent="0.25">
      <c r="A16" s="345">
        <v>35810</v>
      </c>
      <c r="B16" s="342">
        <v>2.09</v>
      </c>
      <c r="C16" s="342"/>
      <c r="D16" s="342"/>
      <c r="E16" s="342"/>
      <c r="F16" s="342"/>
      <c r="G16" s="342"/>
      <c r="H16" s="342"/>
    </row>
    <row r="17" spans="1:8" x14ac:dyDescent="0.25">
      <c r="A17" s="345">
        <v>35841</v>
      </c>
      <c r="B17" s="342">
        <v>2.23</v>
      </c>
      <c r="C17" s="342"/>
      <c r="D17" s="342"/>
      <c r="E17" s="342"/>
      <c r="F17" s="342"/>
      <c r="G17" s="342"/>
      <c r="H17" s="342"/>
    </row>
    <row r="18" spans="1:8" x14ac:dyDescent="0.25">
      <c r="A18" s="345">
        <v>35869</v>
      </c>
      <c r="B18" s="342">
        <v>2.2400000000000002</v>
      </c>
      <c r="C18" s="342"/>
      <c r="D18" s="342"/>
      <c r="E18" s="342"/>
      <c r="F18" s="342"/>
      <c r="G18" s="342"/>
      <c r="H18" s="342"/>
    </row>
    <row r="19" spans="1:8" x14ac:dyDescent="0.25">
      <c r="A19" s="345">
        <v>35900</v>
      </c>
      <c r="B19" s="342">
        <v>2.4300000000000002</v>
      </c>
      <c r="C19" s="342"/>
      <c r="D19" s="342"/>
      <c r="E19" s="342"/>
      <c r="F19" s="342"/>
      <c r="G19" s="342"/>
      <c r="H19" s="342"/>
    </row>
    <row r="20" spans="1:8" x14ac:dyDescent="0.25">
      <c r="A20" s="345">
        <v>35930</v>
      </c>
      <c r="B20" s="342">
        <v>2.14</v>
      </c>
      <c r="C20" s="342"/>
      <c r="D20" s="342"/>
      <c r="E20" s="342"/>
      <c r="F20" s="342"/>
      <c r="G20" s="342"/>
      <c r="H20" s="342"/>
    </row>
    <row r="21" spans="1:8" x14ac:dyDescent="0.25">
      <c r="A21" s="345">
        <v>35961</v>
      </c>
      <c r="B21" s="342">
        <v>2.17</v>
      </c>
      <c r="C21" s="342"/>
      <c r="D21" s="342"/>
      <c r="E21" s="342"/>
      <c r="F21" s="342"/>
      <c r="G21" s="342"/>
      <c r="H21" s="342"/>
    </row>
    <row r="22" spans="1:8" x14ac:dyDescent="0.25">
      <c r="A22" s="345">
        <v>35991</v>
      </c>
      <c r="B22" s="342">
        <v>2.17</v>
      </c>
      <c r="C22" s="342"/>
      <c r="D22" s="342"/>
      <c r="E22" s="342"/>
      <c r="F22" s="342"/>
      <c r="G22" s="342"/>
      <c r="H22" s="342"/>
    </row>
    <row r="23" spans="1:8" x14ac:dyDescent="0.25">
      <c r="A23" s="345">
        <v>36022</v>
      </c>
      <c r="B23" s="342">
        <v>1.85</v>
      </c>
      <c r="C23" s="342"/>
      <c r="D23" s="342"/>
      <c r="E23" s="342"/>
      <c r="F23" s="342"/>
      <c r="G23" s="342"/>
      <c r="H23" s="342"/>
    </row>
    <row r="24" spans="1:8" x14ac:dyDescent="0.25">
      <c r="A24" s="345">
        <v>36053</v>
      </c>
      <c r="B24" s="342">
        <v>2.02</v>
      </c>
      <c r="C24" s="342"/>
      <c r="D24" s="342"/>
      <c r="E24" s="342"/>
      <c r="F24" s="342"/>
      <c r="G24" s="342"/>
      <c r="H24" s="342"/>
    </row>
    <row r="25" spans="1:8" x14ac:dyDescent="0.25">
      <c r="A25" s="345">
        <v>36083</v>
      </c>
      <c r="B25" s="342">
        <v>1.91</v>
      </c>
      <c r="C25" s="342"/>
      <c r="D25" s="342"/>
      <c r="E25" s="342"/>
      <c r="F25" s="342"/>
      <c r="G25" s="342"/>
      <c r="H25" s="342"/>
    </row>
    <row r="26" spans="1:8" x14ac:dyDescent="0.25">
      <c r="A26" s="345">
        <v>36114</v>
      </c>
      <c r="B26" s="342">
        <v>2.12</v>
      </c>
      <c r="C26" s="342"/>
      <c r="D26" s="342"/>
      <c r="E26" s="342"/>
      <c r="F26" s="342"/>
      <c r="G26" s="342"/>
      <c r="H26" s="342"/>
    </row>
    <row r="27" spans="1:8" x14ac:dyDescent="0.25">
      <c r="A27" s="345">
        <v>36144</v>
      </c>
      <c r="B27" s="342">
        <v>1.72</v>
      </c>
      <c r="C27" s="342"/>
      <c r="D27" s="342"/>
      <c r="E27" s="342"/>
      <c r="F27" s="342"/>
      <c r="G27" s="342"/>
      <c r="H27" s="342"/>
    </row>
    <row r="28" spans="1:8" x14ac:dyDescent="0.25">
      <c r="A28" s="345">
        <v>36175</v>
      </c>
      <c r="B28" s="342">
        <v>1.85</v>
      </c>
      <c r="C28" s="342"/>
      <c r="D28" s="342"/>
      <c r="E28" s="342"/>
      <c r="F28" s="342"/>
      <c r="G28" s="342"/>
      <c r="H28" s="342"/>
    </row>
    <row r="29" spans="1:8" x14ac:dyDescent="0.25">
      <c r="A29" s="345">
        <v>36206</v>
      </c>
      <c r="B29" s="342">
        <v>1.77</v>
      </c>
      <c r="C29" s="342"/>
      <c r="D29" s="342"/>
      <c r="E29" s="342"/>
      <c r="F29" s="342"/>
      <c r="G29" s="342"/>
      <c r="H29" s="342"/>
    </row>
    <row r="30" spans="1:8" x14ac:dyDescent="0.25">
      <c r="A30" s="345">
        <v>36234</v>
      </c>
      <c r="B30" s="342">
        <v>1.79</v>
      </c>
      <c r="C30" s="342"/>
      <c r="D30" s="342"/>
      <c r="E30" s="342"/>
      <c r="F30" s="342"/>
      <c r="G30" s="342"/>
      <c r="H30" s="342"/>
    </row>
    <row r="31" spans="1:8" x14ac:dyDescent="0.25">
      <c r="A31" s="345">
        <v>36265</v>
      </c>
      <c r="B31" s="342">
        <v>2.15</v>
      </c>
      <c r="C31" s="342"/>
      <c r="D31" s="342"/>
      <c r="E31" s="342"/>
      <c r="F31" s="342"/>
      <c r="G31" s="342"/>
      <c r="H31" s="342"/>
    </row>
    <row r="32" spans="1:8" x14ac:dyDescent="0.25">
      <c r="A32" s="345">
        <v>36295</v>
      </c>
      <c r="B32" s="342">
        <v>2.2599999999999998</v>
      </c>
      <c r="C32" s="342"/>
      <c r="D32" s="342"/>
      <c r="E32" s="342"/>
      <c r="F32" s="342"/>
      <c r="G32" s="342"/>
      <c r="H32" s="342"/>
    </row>
    <row r="33" spans="1:8" x14ac:dyDescent="0.25">
      <c r="A33" s="345">
        <v>36326</v>
      </c>
      <c r="B33" s="342">
        <v>2.2999999999999998</v>
      </c>
      <c r="C33" s="342"/>
      <c r="D33" s="342"/>
      <c r="E33" s="342"/>
      <c r="F33" s="342"/>
      <c r="G33" s="342"/>
      <c r="H33" s="342"/>
    </row>
    <row r="34" spans="1:8" x14ac:dyDescent="0.25">
      <c r="A34" s="345">
        <v>36356</v>
      </c>
      <c r="B34" s="342">
        <v>2.31</v>
      </c>
      <c r="C34" s="342"/>
      <c r="D34" s="342"/>
      <c r="E34" s="342"/>
      <c r="F34" s="342"/>
      <c r="G34" s="342"/>
      <c r="H34" s="342"/>
    </row>
    <row r="35" spans="1:8" x14ac:dyDescent="0.25">
      <c r="A35" s="345">
        <v>36387</v>
      </c>
      <c r="B35" s="342">
        <v>2.8</v>
      </c>
      <c r="C35" s="342"/>
      <c r="D35" s="342"/>
      <c r="E35" s="342"/>
      <c r="F35" s="342"/>
      <c r="G35" s="342"/>
      <c r="H35" s="342"/>
    </row>
    <row r="36" spans="1:8" x14ac:dyDescent="0.25">
      <c r="A36" s="345">
        <v>36418</v>
      </c>
      <c r="B36" s="342">
        <v>2.5499999999999998</v>
      </c>
      <c r="C36" s="342"/>
      <c r="D36" s="342"/>
      <c r="E36" s="342"/>
      <c r="F36" s="342"/>
      <c r="G36" s="342"/>
      <c r="H36" s="342"/>
    </row>
    <row r="37" spans="1:8" x14ac:dyDescent="0.25">
      <c r="A37" s="345">
        <v>36448</v>
      </c>
      <c r="B37" s="342">
        <v>2.73</v>
      </c>
      <c r="C37" s="342"/>
      <c r="D37" s="342"/>
      <c r="E37" s="342"/>
      <c r="F37" s="342"/>
      <c r="G37" s="342"/>
      <c r="H37" s="342"/>
    </row>
    <row r="38" spans="1:8" x14ac:dyDescent="0.25">
      <c r="A38" s="345">
        <v>36479</v>
      </c>
      <c r="B38" s="342">
        <v>2.37</v>
      </c>
      <c r="C38" s="342"/>
      <c r="D38" s="342"/>
      <c r="E38" s="342"/>
      <c r="F38" s="342"/>
      <c r="G38" s="342"/>
      <c r="H38" s="342"/>
    </row>
    <row r="39" spans="1:8" x14ac:dyDescent="0.25">
      <c r="A39" s="345">
        <v>36509</v>
      </c>
      <c r="B39" s="342">
        <v>2.36</v>
      </c>
      <c r="C39" s="342"/>
      <c r="D39" s="342"/>
      <c r="E39" s="342"/>
      <c r="F39" s="342"/>
      <c r="G39" s="342"/>
      <c r="H39" s="342"/>
    </row>
    <row r="40" spans="1:8" x14ac:dyDescent="0.25">
      <c r="A40" s="345">
        <v>36540</v>
      </c>
      <c r="B40" s="342">
        <v>2.42</v>
      </c>
      <c r="C40" s="342"/>
      <c r="D40" s="342"/>
      <c r="E40" s="342"/>
      <c r="F40" s="342"/>
      <c r="G40" s="342"/>
      <c r="H40" s="342"/>
    </row>
    <row r="41" spans="1:8" x14ac:dyDescent="0.25">
      <c r="A41" s="345">
        <v>36571</v>
      </c>
      <c r="B41" s="342">
        <v>2.66</v>
      </c>
      <c r="C41" s="342"/>
      <c r="D41" s="342"/>
      <c r="E41" s="342"/>
      <c r="F41" s="342"/>
      <c r="G41" s="342"/>
      <c r="H41" s="342"/>
    </row>
    <row r="42" spans="1:8" x14ac:dyDescent="0.25">
      <c r="A42" s="345">
        <v>36600</v>
      </c>
      <c r="B42" s="342">
        <v>2.79</v>
      </c>
      <c r="C42" s="342"/>
      <c r="D42" s="342"/>
      <c r="E42" s="342"/>
      <c r="F42" s="342"/>
      <c r="G42" s="342"/>
      <c r="H42" s="342"/>
    </row>
    <row r="43" spans="1:8" x14ac:dyDescent="0.25">
      <c r="A43" s="345">
        <v>36631</v>
      </c>
      <c r="B43" s="342">
        <v>3.04</v>
      </c>
      <c r="C43" s="342"/>
      <c r="D43" s="342"/>
      <c r="E43" s="342"/>
      <c r="F43" s="342"/>
      <c r="G43" s="342"/>
      <c r="H43" s="342"/>
    </row>
    <row r="44" spans="1:8" x14ac:dyDescent="0.25">
      <c r="A44" s="345">
        <v>36661</v>
      </c>
      <c r="B44" s="342">
        <v>3.59</v>
      </c>
      <c r="C44" s="342"/>
      <c r="D44" s="342"/>
      <c r="E44" s="342"/>
      <c r="F44" s="342"/>
      <c r="G44" s="342"/>
      <c r="H44" s="342"/>
    </row>
    <row r="45" spans="1:8" x14ac:dyDescent="0.25">
      <c r="A45" s="345">
        <v>36692</v>
      </c>
      <c r="B45" s="342">
        <v>4.29</v>
      </c>
      <c r="C45" s="342"/>
      <c r="D45" s="342"/>
      <c r="E45" s="342"/>
      <c r="F45" s="342"/>
      <c r="G45" s="342"/>
      <c r="H45" s="342"/>
    </row>
    <row r="46" spans="1:8" x14ac:dyDescent="0.25">
      <c r="A46" s="345">
        <v>36722</v>
      </c>
      <c r="B46" s="342">
        <v>3.99</v>
      </c>
      <c r="C46" s="342"/>
      <c r="D46" s="342"/>
      <c r="E46" s="342"/>
      <c r="F46" s="342"/>
      <c r="G46" s="342"/>
      <c r="H46" s="342"/>
    </row>
    <row r="47" spans="1:8" x14ac:dyDescent="0.25">
      <c r="A47" s="345">
        <v>36753</v>
      </c>
      <c r="B47" s="342">
        <v>4.43</v>
      </c>
      <c r="C47" s="342"/>
      <c r="D47" s="342"/>
      <c r="E47" s="342"/>
      <c r="F47" s="342"/>
      <c r="G47" s="342"/>
      <c r="H47" s="342"/>
    </row>
    <row r="48" spans="1:8" x14ac:dyDescent="0.25">
      <c r="A48" s="345">
        <v>36784</v>
      </c>
      <c r="B48" s="342">
        <v>5.0599999999999996</v>
      </c>
      <c r="C48" s="342"/>
      <c r="D48" s="342"/>
      <c r="E48" s="342"/>
      <c r="F48" s="342"/>
      <c r="G48" s="342"/>
      <c r="H48" s="342"/>
    </row>
    <row r="49" spans="1:8" x14ac:dyDescent="0.25">
      <c r="A49" s="345">
        <v>36814</v>
      </c>
      <c r="B49" s="342">
        <v>5.0199999999999996</v>
      </c>
      <c r="C49" s="342"/>
      <c r="D49" s="342"/>
      <c r="E49" s="342"/>
      <c r="F49" s="342"/>
      <c r="G49" s="342"/>
      <c r="H49" s="342"/>
    </row>
    <row r="50" spans="1:8" x14ac:dyDescent="0.25">
      <c r="A50" s="345">
        <v>36845</v>
      </c>
      <c r="B50" s="342">
        <v>5.52</v>
      </c>
      <c r="C50" s="342"/>
      <c r="D50" s="342"/>
      <c r="E50" s="342"/>
      <c r="F50" s="342"/>
      <c r="G50" s="342"/>
      <c r="H50" s="342"/>
    </row>
    <row r="51" spans="1:8" x14ac:dyDescent="0.25">
      <c r="A51" s="345">
        <v>36875</v>
      </c>
      <c r="B51" s="342">
        <v>8.9</v>
      </c>
      <c r="C51" s="342"/>
      <c r="D51" s="342"/>
      <c r="E51" s="342"/>
      <c r="F51" s="342"/>
      <c r="G51" s="342"/>
      <c r="H51" s="342"/>
    </row>
    <row r="52" spans="1:8" x14ac:dyDescent="0.25">
      <c r="A52" s="345">
        <v>36906</v>
      </c>
      <c r="B52" s="342">
        <v>8.17</v>
      </c>
      <c r="C52" s="342"/>
      <c r="D52" s="342"/>
      <c r="E52" s="342"/>
      <c r="F52" s="342"/>
      <c r="G52" s="342"/>
      <c r="H52" s="342"/>
    </row>
    <row r="53" spans="1:8" x14ac:dyDescent="0.25">
      <c r="A53" s="345">
        <v>36937</v>
      </c>
      <c r="B53" s="342">
        <v>5.61</v>
      </c>
      <c r="C53" s="342"/>
      <c r="D53" s="342"/>
      <c r="E53" s="342"/>
      <c r="F53" s="342"/>
      <c r="G53" s="342"/>
      <c r="H53" s="342"/>
    </row>
    <row r="54" spans="1:8" x14ac:dyDescent="0.25">
      <c r="A54" s="345">
        <v>36965</v>
      </c>
      <c r="B54" s="342">
        <v>5.23</v>
      </c>
      <c r="C54" s="342"/>
      <c r="D54" s="342"/>
      <c r="E54" s="342"/>
      <c r="F54" s="342"/>
      <c r="G54" s="342"/>
      <c r="H54" s="342"/>
    </row>
    <row r="55" spans="1:8" x14ac:dyDescent="0.25">
      <c r="A55" s="345">
        <v>36996</v>
      </c>
      <c r="B55" s="342">
        <v>5.19</v>
      </c>
      <c r="C55" s="342"/>
      <c r="D55" s="342"/>
      <c r="E55" s="342"/>
      <c r="F55" s="342"/>
      <c r="G55" s="342"/>
      <c r="H55" s="342"/>
    </row>
    <row r="56" spans="1:8" x14ac:dyDescent="0.25">
      <c r="A56" s="345">
        <v>37026</v>
      </c>
      <c r="B56" s="342">
        <v>4.1900000000000004</v>
      </c>
      <c r="C56" s="342"/>
      <c r="D56" s="342"/>
      <c r="E56" s="342"/>
      <c r="F56" s="342"/>
      <c r="G56" s="342"/>
      <c r="H56" s="342"/>
    </row>
    <row r="57" spans="1:8" x14ac:dyDescent="0.25">
      <c r="A57" s="345">
        <v>37057</v>
      </c>
      <c r="B57" s="342">
        <v>3.72</v>
      </c>
      <c r="C57" s="342"/>
      <c r="D57" s="342"/>
      <c r="E57" s="342"/>
      <c r="F57" s="342"/>
      <c r="G57" s="342"/>
      <c r="H57" s="342"/>
    </row>
    <row r="58" spans="1:8" x14ac:dyDescent="0.25">
      <c r="A58" s="345">
        <v>37087</v>
      </c>
      <c r="B58" s="342">
        <v>3.11</v>
      </c>
      <c r="C58" s="342"/>
      <c r="D58" s="342"/>
      <c r="E58" s="342"/>
      <c r="F58" s="342"/>
      <c r="G58" s="342"/>
      <c r="H58" s="342"/>
    </row>
    <row r="59" spans="1:8" x14ac:dyDescent="0.25">
      <c r="A59" s="345">
        <v>37118</v>
      </c>
      <c r="B59" s="342">
        <v>2.97</v>
      </c>
      <c r="C59" s="342"/>
      <c r="D59" s="342"/>
      <c r="E59" s="342"/>
      <c r="F59" s="342"/>
      <c r="G59" s="342"/>
      <c r="H59" s="342"/>
    </row>
    <row r="60" spans="1:8" x14ac:dyDescent="0.25">
      <c r="A60" s="345">
        <v>37149</v>
      </c>
      <c r="B60" s="342">
        <v>2.19</v>
      </c>
      <c r="C60" s="342"/>
      <c r="D60" s="342"/>
      <c r="E60" s="342"/>
      <c r="F60" s="342"/>
      <c r="G60" s="342"/>
      <c r="H60" s="342"/>
    </row>
    <row r="61" spans="1:8" x14ac:dyDescent="0.25">
      <c r="A61" s="345">
        <v>37179</v>
      </c>
      <c r="B61" s="342">
        <v>2.46</v>
      </c>
      <c r="C61" s="342"/>
      <c r="D61" s="342"/>
      <c r="E61" s="342"/>
      <c r="F61" s="342"/>
      <c r="G61" s="342"/>
      <c r="H61" s="342"/>
    </row>
    <row r="62" spans="1:8" x14ac:dyDescent="0.25">
      <c r="A62" s="345">
        <v>37210</v>
      </c>
      <c r="B62" s="342">
        <v>2.34</v>
      </c>
      <c r="C62" s="342"/>
      <c r="D62" s="342"/>
      <c r="E62" s="342"/>
      <c r="F62" s="342"/>
      <c r="G62" s="342"/>
      <c r="H62" s="342"/>
    </row>
    <row r="63" spans="1:8" x14ac:dyDescent="0.25">
      <c r="A63" s="345">
        <v>37240</v>
      </c>
      <c r="B63" s="342">
        <v>2.2999999999999998</v>
      </c>
      <c r="C63" s="342"/>
      <c r="D63" s="342"/>
      <c r="E63" s="342"/>
      <c r="F63" s="342"/>
      <c r="G63" s="342"/>
      <c r="H63" s="342"/>
    </row>
    <row r="64" spans="1:8" x14ac:dyDescent="0.25">
      <c r="A64" s="345">
        <v>37271</v>
      </c>
      <c r="B64" s="342">
        <v>2.3199999999999998</v>
      </c>
      <c r="C64" s="342"/>
      <c r="D64" s="342"/>
      <c r="E64" s="342"/>
      <c r="F64" s="342"/>
      <c r="G64" s="342"/>
      <c r="H64" s="342"/>
    </row>
    <row r="65" spans="1:8" x14ac:dyDescent="0.25">
      <c r="A65" s="345">
        <v>37302</v>
      </c>
      <c r="B65" s="342">
        <v>2.3199999999999998</v>
      </c>
      <c r="C65" s="342"/>
      <c r="D65" s="342"/>
      <c r="E65" s="342"/>
      <c r="F65" s="342"/>
      <c r="G65" s="342"/>
      <c r="H65" s="342"/>
    </row>
    <row r="66" spans="1:8" x14ac:dyDescent="0.25">
      <c r="A66" s="345">
        <v>37330</v>
      </c>
      <c r="B66" s="342">
        <v>3.03</v>
      </c>
      <c r="C66" s="342"/>
      <c r="D66" s="342"/>
      <c r="E66" s="342"/>
      <c r="F66" s="342"/>
      <c r="G66" s="342"/>
      <c r="H66" s="342"/>
    </row>
    <row r="67" spans="1:8" x14ac:dyDescent="0.25">
      <c r="A67" s="345">
        <v>37361</v>
      </c>
      <c r="B67" s="342">
        <v>3.43</v>
      </c>
      <c r="C67" s="342"/>
      <c r="D67" s="342"/>
      <c r="E67" s="342"/>
      <c r="F67" s="342"/>
      <c r="G67" s="342"/>
      <c r="H67" s="342"/>
    </row>
    <row r="68" spans="1:8" x14ac:dyDescent="0.25">
      <c r="A68" s="345">
        <v>37391</v>
      </c>
      <c r="B68" s="342">
        <v>3.5</v>
      </c>
      <c r="C68" s="342"/>
      <c r="D68" s="342"/>
      <c r="E68" s="342"/>
      <c r="F68" s="342"/>
      <c r="G68" s="342"/>
      <c r="H68" s="342"/>
    </row>
    <row r="69" spans="1:8" x14ac:dyDescent="0.25">
      <c r="A69" s="345">
        <v>37422</v>
      </c>
      <c r="B69" s="342">
        <v>3.26</v>
      </c>
      <c r="C69" s="342"/>
      <c r="D69" s="342"/>
      <c r="E69" s="342"/>
      <c r="F69" s="342"/>
      <c r="G69" s="342"/>
      <c r="H69" s="342"/>
    </row>
    <row r="70" spans="1:8" x14ac:dyDescent="0.25">
      <c r="A70" s="345">
        <v>37452</v>
      </c>
      <c r="B70" s="342">
        <v>2.99</v>
      </c>
      <c r="C70" s="342"/>
      <c r="D70" s="342"/>
      <c r="E70" s="342"/>
      <c r="F70" s="342"/>
      <c r="G70" s="342"/>
      <c r="H70" s="342"/>
    </row>
    <row r="71" spans="1:8" x14ac:dyDescent="0.25">
      <c r="A71" s="345">
        <v>37483</v>
      </c>
      <c r="B71" s="342">
        <v>3.09</v>
      </c>
      <c r="C71" s="342"/>
      <c r="D71" s="342"/>
      <c r="E71" s="342"/>
      <c r="F71" s="342"/>
      <c r="G71" s="342"/>
      <c r="H71" s="342"/>
    </row>
    <row r="72" spans="1:8" x14ac:dyDescent="0.25">
      <c r="A72" s="345">
        <v>37514</v>
      </c>
      <c r="B72" s="342">
        <v>3.55</v>
      </c>
      <c r="C72" s="342"/>
      <c r="D72" s="342"/>
      <c r="E72" s="342"/>
      <c r="F72" s="342"/>
      <c r="G72" s="342"/>
      <c r="H72" s="342"/>
    </row>
    <row r="73" spans="1:8" x14ac:dyDescent="0.25">
      <c r="A73" s="345">
        <v>37544</v>
      </c>
      <c r="B73" s="342">
        <v>4.13</v>
      </c>
      <c r="C73" s="342"/>
      <c r="D73" s="342"/>
      <c r="E73" s="342"/>
      <c r="F73" s="342"/>
      <c r="G73" s="342"/>
      <c r="H73" s="342"/>
    </row>
    <row r="74" spans="1:8" x14ac:dyDescent="0.25">
      <c r="A74" s="345">
        <v>37575</v>
      </c>
      <c r="B74" s="342">
        <v>4.04</v>
      </c>
      <c r="C74" s="342"/>
      <c r="D74" s="342"/>
      <c r="E74" s="342"/>
      <c r="F74" s="342"/>
      <c r="G74" s="342"/>
      <c r="H74" s="342"/>
    </row>
    <row r="75" spans="1:8" x14ac:dyDescent="0.25">
      <c r="A75" s="345">
        <v>37605</v>
      </c>
      <c r="B75" s="342">
        <v>4.74</v>
      </c>
      <c r="C75" s="342"/>
      <c r="D75" s="342"/>
      <c r="E75" s="342"/>
      <c r="F75" s="342"/>
      <c r="G75" s="342"/>
      <c r="H75" s="342"/>
    </row>
    <row r="76" spans="1:8" x14ac:dyDescent="0.25">
      <c r="A76" s="345">
        <v>37636</v>
      </c>
      <c r="B76" s="342">
        <v>5.43</v>
      </c>
      <c r="C76" s="342"/>
      <c r="D76" s="342"/>
      <c r="E76" s="342"/>
      <c r="F76" s="342"/>
      <c r="G76" s="342"/>
      <c r="H76" s="342"/>
    </row>
    <row r="77" spans="1:8" x14ac:dyDescent="0.25">
      <c r="A77" s="345">
        <v>37667</v>
      </c>
      <c r="B77" s="342">
        <v>7.71</v>
      </c>
      <c r="C77" s="342"/>
      <c r="D77" s="342"/>
      <c r="E77" s="342"/>
      <c r="F77" s="342"/>
      <c r="G77" s="342"/>
      <c r="H77" s="342"/>
    </row>
    <row r="78" spans="1:8" x14ac:dyDescent="0.25">
      <c r="A78" s="345">
        <v>37695</v>
      </c>
      <c r="B78" s="342">
        <v>5.93</v>
      </c>
      <c r="C78" s="342"/>
      <c r="D78" s="342"/>
      <c r="E78" s="342"/>
      <c r="F78" s="342"/>
      <c r="G78" s="342"/>
      <c r="H78" s="342"/>
    </row>
    <row r="79" spans="1:8" x14ac:dyDescent="0.25">
      <c r="A79" s="345">
        <v>37726</v>
      </c>
      <c r="B79" s="342">
        <v>5.26</v>
      </c>
      <c r="C79" s="342"/>
      <c r="D79" s="342"/>
      <c r="E79" s="342"/>
      <c r="F79" s="342"/>
      <c r="G79" s="342"/>
      <c r="H79" s="342"/>
    </row>
    <row r="80" spans="1:8" x14ac:dyDescent="0.25">
      <c r="A80" s="345">
        <v>37756</v>
      </c>
      <c r="B80" s="342">
        <v>5.81</v>
      </c>
      <c r="C80" s="342"/>
      <c r="D80" s="342"/>
      <c r="E80" s="342"/>
      <c r="F80" s="342"/>
      <c r="G80" s="342"/>
      <c r="H80" s="342"/>
    </row>
    <row r="81" spans="1:8" x14ac:dyDescent="0.25">
      <c r="A81" s="345">
        <v>37787</v>
      </c>
      <c r="B81" s="342">
        <v>5.82</v>
      </c>
      <c r="C81" s="342"/>
      <c r="D81" s="342"/>
      <c r="E81" s="342"/>
      <c r="F81" s="342"/>
      <c r="G81" s="342"/>
      <c r="H81" s="342"/>
    </row>
    <row r="82" spans="1:8" x14ac:dyDescent="0.25">
      <c r="A82" s="345">
        <v>37817</v>
      </c>
      <c r="B82" s="342">
        <v>5.03</v>
      </c>
      <c r="C82" s="342"/>
      <c r="D82" s="342"/>
      <c r="E82" s="342"/>
      <c r="F82" s="342"/>
      <c r="G82" s="342"/>
      <c r="H82" s="342"/>
    </row>
    <row r="83" spans="1:8" x14ac:dyDescent="0.25">
      <c r="A83" s="345">
        <v>37848</v>
      </c>
      <c r="B83" s="342">
        <v>4.99</v>
      </c>
      <c r="C83" s="342"/>
      <c r="D83" s="342"/>
      <c r="E83" s="342"/>
      <c r="F83" s="342"/>
      <c r="G83" s="342"/>
      <c r="H83" s="342"/>
    </row>
    <row r="84" spans="1:8" x14ac:dyDescent="0.25">
      <c r="A84" s="345">
        <v>37879</v>
      </c>
      <c r="B84" s="342">
        <v>4.62</v>
      </c>
      <c r="C84" s="342"/>
      <c r="D84" s="342"/>
      <c r="E84" s="342"/>
      <c r="F84" s="342"/>
      <c r="G84" s="342"/>
      <c r="H84" s="342"/>
    </row>
    <row r="85" spans="1:8" x14ac:dyDescent="0.25">
      <c r="A85" s="345">
        <v>37909</v>
      </c>
      <c r="B85" s="342">
        <v>4.63</v>
      </c>
      <c r="C85" s="342"/>
      <c r="D85" s="342"/>
      <c r="E85" s="342"/>
      <c r="F85" s="342"/>
      <c r="G85" s="342"/>
      <c r="H85" s="342"/>
    </row>
    <row r="86" spans="1:8" x14ac:dyDescent="0.25">
      <c r="A86" s="345">
        <v>37940</v>
      </c>
      <c r="B86" s="342">
        <v>4.47</v>
      </c>
      <c r="C86" s="342"/>
      <c r="D86" s="342"/>
      <c r="E86" s="342"/>
      <c r="F86" s="342"/>
      <c r="G86" s="342"/>
      <c r="H86" s="342"/>
    </row>
    <row r="87" spans="1:8" x14ac:dyDescent="0.25">
      <c r="A87" s="345">
        <v>37970</v>
      </c>
      <c r="B87" s="342">
        <v>6.13</v>
      </c>
      <c r="C87" s="342"/>
      <c r="D87" s="342"/>
      <c r="E87" s="342"/>
      <c r="F87" s="342"/>
      <c r="G87" s="342"/>
      <c r="H87" s="342"/>
    </row>
    <row r="88" spans="1:8" x14ac:dyDescent="0.25">
      <c r="A88" s="345">
        <v>38001</v>
      </c>
      <c r="B88" s="342">
        <v>6.14</v>
      </c>
      <c r="C88" s="342"/>
      <c r="D88" s="342"/>
      <c r="E88" s="342"/>
      <c r="F88" s="342"/>
      <c r="G88" s="342"/>
      <c r="H88" s="342"/>
    </row>
    <row r="89" spans="1:8" x14ac:dyDescent="0.25">
      <c r="A89" s="345">
        <v>38032</v>
      </c>
      <c r="B89" s="342">
        <v>5.37</v>
      </c>
      <c r="C89" s="342"/>
      <c r="D89" s="342"/>
      <c r="E89" s="342"/>
      <c r="F89" s="342"/>
      <c r="G89" s="342"/>
      <c r="H89" s="342"/>
    </row>
    <row r="90" spans="1:8" x14ac:dyDescent="0.25">
      <c r="A90" s="345">
        <v>38061</v>
      </c>
      <c r="B90" s="342">
        <v>5.39</v>
      </c>
      <c r="C90" s="342"/>
      <c r="D90" s="342"/>
      <c r="E90" s="342"/>
      <c r="F90" s="342"/>
      <c r="G90" s="342"/>
      <c r="H90" s="342"/>
    </row>
    <row r="91" spans="1:8" x14ac:dyDescent="0.25">
      <c r="A91" s="345">
        <v>38092</v>
      </c>
      <c r="B91" s="342">
        <v>5.71</v>
      </c>
      <c r="C91" s="342"/>
      <c r="D91" s="342"/>
      <c r="E91" s="342"/>
      <c r="F91" s="342"/>
      <c r="G91" s="342"/>
      <c r="H91" s="342"/>
    </row>
    <row r="92" spans="1:8" x14ac:dyDescent="0.25">
      <c r="A92" s="345">
        <v>38122</v>
      </c>
      <c r="B92" s="342">
        <v>6.33</v>
      </c>
      <c r="C92" s="342"/>
      <c r="D92" s="342"/>
      <c r="E92" s="342"/>
      <c r="F92" s="342"/>
      <c r="G92" s="342"/>
      <c r="H92" s="342"/>
    </row>
    <row r="93" spans="1:8" x14ac:dyDescent="0.25">
      <c r="A93" s="345">
        <v>38153</v>
      </c>
      <c r="B93" s="342">
        <v>6.27</v>
      </c>
      <c r="C93" s="342"/>
      <c r="D93" s="342"/>
      <c r="E93" s="342"/>
      <c r="F93" s="342"/>
      <c r="G93" s="342"/>
      <c r="H93" s="342"/>
    </row>
    <row r="94" spans="1:8" x14ac:dyDescent="0.25">
      <c r="A94" s="345">
        <v>38183</v>
      </c>
      <c r="B94" s="342">
        <v>5.93</v>
      </c>
      <c r="C94" s="342"/>
      <c r="D94" s="342"/>
      <c r="E94" s="342"/>
      <c r="F94" s="342"/>
      <c r="G94" s="342"/>
      <c r="H94" s="342"/>
    </row>
    <row r="95" spans="1:8" x14ac:dyDescent="0.25">
      <c r="A95" s="345">
        <v>38214</v>
      </c>
      <c r="B95" s="342">
        <v>5.41</v>
      </c>
      <c r="C95" s="342"/>
      <c r="D95" s="342"/>
      <c r="E95" s="342"/>
      <c r="F95" s="342"/>
      <c r="G95" s="342"/>
      <c r="H95" s="342"/>
    </row>
    <row r="96" spans="1:8" x14ac:dyDescent="0.25">
      <c r="A96" s="345">
        <v>38245</v>
      </c>
      <c r="B96" s="342">
        <v>5.15</v>
      </c>
      <c r="C96" s="342"/>
      <c r="D96" s="342"/>
      <c r="E96" s="342"/>
      <c r="F96" s="342"/>
      <c r="G96" s="342"/>
      <c r="H96" s="342"/>
    </row>
    <row r="97" spans="1:8" x14ac:dyDescent="0.25">
      <c r="A97" s="345">
        <v>38275</v>
      </c>
      <c r="B97" s="342">
        <v>6.35</v>
      </c>
      <c r="C97" s="342"/>
      <c r="D97" s="342"/>
      <c r="E97" s="342"/>
      <c r="F97" s="342"/>
      <c r="G97" s="342"/>
      <c r="H97" s="342"/>
    </row>
    <row r="98" spans="1:8" x14ac:dyDescent="0.25">
      <c r="A98" s="345">
        <v>38306</v>
      </c>
      <c r="B98" s="342">
        <v>6.17</v>
      </c>
      <c r="C98" s="342"/>
      <c r="D98" s="342"/>
      <c r="E98" s="342"/>
      <c r="F98" s="342"/>
      <c r="G98" s="342"/>
      <c r="H98" s="342"/>
    </row>
    <row r="99" spans="1:8" x14ac:dyDescent="0.25">
      <c r="A99" s="345">
        <v>38336</v>
      </c>
      <c r="B99" s="342">
        <v>6.58</v>
      </c>
      <c r="C99" s="342"/>
      <c r="D99" s="342"/>
      <c r="E99" s="342"/>
      <c r="F99" s="342"/>
      <c r="G99" s="342"/>
      <c r="H99" s="342"/>
    </row>
    <row r="100" spans="1:8" x14ac:dyDescent="0.25">
      <c r="A100" s="345">
        <v>38367</v>
      </c>
      <c r="B100" s="342">
        <v>6.15</v>
      </c>
      <c r="C100" s="342"/>
      <c r="D100" s="342"/>
      <c r="E100" s="342"/>
      <c r="F100" s="342"/>
      <c r="G100" s="342"/>
      <c r="H100" s="342"/>
    </row>
    <row r="101" spans="1:8" x14ac:dyDescent="0.25">
      <c r="A101" s="345">
        <v>38398</v>
      </c>
      <c r="B101" s="342">
        <v>6.14</v>
      </c>
      <c r="C101" s="342"/>
      <c r="D101" s="342"/>
      <c r="E101" s="342"/>
      <c r="F101" s="342"/>
      <c r="G101" s="342"/>
      <c r="H101" s="342"/>
    </row>
    <row r="102" spans="1:8" x14ac:dyDescent="0.25">
      <c r="A102" s="345">
        <v>38426</v>
      </c>
      <c r="B102" s="342">
        <v>6.96</v>
      </c>
      <c r="C102" s="342"/>
      <c r="D102" s="342"/>
      <c r="E102" s="342"/>
      <c r="F102" s="342"/>
      <c r="G102" s="342"/>
      <c r="H102" s="342"/>
    </row>
    <row r="103" spans="1:8" x14ac:dyDescent="0.25">
      <c r="A103" s="345">
        <v>38457</v>
      </c>
      <c r="B103" s="342">
        <v>7.16</v>
      </c>
      <c r="C103" s="342"/>
      <c r="D103" s="342"/>
      <c r="E103" s="342"/>
      <c r="F103" s="342"/>
      <c r="G103" s="342"/>
      <c r="H103" s="342"/>
    </row>
    <row r="104" spans="1:8" x14ac:dyDescent="0.25">
      <c r="A104" s="345">
        <v>38487</v>
      </c>
      <c r="B104" s="342">
        <v>6.47</v>
      </c>
      <c r="C104" s="342"/>
      <c r="D104" s="342"/>
      <c r="E104" s="342"/>
      <c r="F104" s="342"/>
      <c r="G104" s="342"/>
      <c r="H104" s="342"/>
    </row>
    <row r="105" spans="1:8" x14ac:dyDescent="0.25">
      <c r="A105" s="345">
        <v>38518</v>
      </c>
      <c r="B105" s="342">
        <v>7.18</v>
      </c>
      <c r="C105" s="342"/>
      <c r="D105" s="342"/>
      <c r="E105" s="342"/>
      <c r="F105" s="342"/>
      <c r="G105" s="342"/>
      <c r="H105" s="342"/>
    </row>
    <row r="106" spans="1:8" x14ac:dyDescent="0.25">
      <c r="A106" s="345">
        <v>38548</v>
      </c>
      <c r="B106" s="342">
        <v>7.63</v>
      </c>
      <c r="C106" s="342"/>
      <c r="D106" s="342"/>
      <c r="E106" s="342"/>
      <c r="F106" s="342"/>
      <c r="G106" s="342"/>
      <c r="H106" s="342"/>
    </row>
    <row r="107" spans="1:8" x14ac:dyDescent="0.25">
      <c r="A107" s="345">
        <v>38579</v>
      </c>
      <c r="B107" s="342">
        <v>9.5299999999999994</v>
      </c>
      <c r="C107" s="342"/>
      <c r="D107" s="342"/>
      <c r="E107" s="342"/>
      <c r="F107" s="342"/>
      <c r="G107" s="342"/>
      <c r="H107" s="342"/>
    </row>
    <row r="108" spans="1:8" x14ac:dyDescent="0.25">
      <c r="A108" s="345">
        <v>38610</v>
      </c>
      <c r="B108" s="342">
        <v>11.75</v>
      </c>
      <c r="C108" s="342"/>
      <c r="D108" s="342"/>
      <c r="E108" s="342"/>
      <c r="F108" s="342"/>
      <c r="G108" s="342"/>
      <c r="H108" s="342"/>
    </row>
    <row r="109" spans="1:8" x14ac:dyDescent="0.25">
      <c r="A109" s="345">
        <v>38640</v>
      </c>
      <c r="B109" s="342">
        <v>13.42</v>
      </c>
      <c r="C109" s="342"/>
      <c r="D109" s="342"/>
      <c r="E109" s="342"/>
      <c r="F109" s="342"/>
      <c r="G109" s="342"/>
      <c r="H109" s="342"/>
    </row>
    <row r="110" spans="1:8" x14ac:dyDescent="0.25">
      <c r="A110" s="345">
        <v>38671</v>
      </c>
      <c r="B110" s="342">
        <v>10.3</v>
      </c>
      <c r="C110" s="342"/>
      <c r="D110" s="342"/>
      <c r="E110" s="342"/>
      <c r="F110" s="342"/>
      <c r="G110" s="342"/>
      <c r="H110" s="342"/>
    </row>
    <row r="111" spans="1:8" x14ac:dyDescent="0.25">
      <c r="A111" s="345">
        <v>38701</v>
      </c>
      <c r="B111" s="342">
        <v>13.05</v>
      </c>
      <c r="C111" s="342"/>
      <c r="D111" s="342"/>
      <c r="E111" s="342"/>
      <c r="F111" s="342"/>
      <c r="G111" s="342"/>
      <c r="H111" s="342"/>
    </row>
    <row r="112" spans="1:8" x14ac:dyDescent="0.25">
      <c r="A112" s="345">
        <v>38732</v>
      </c>
      <c r="B112" s="342">
        <v>8.69</v>
      </c>
      <c r="C112" s="342"/>
      <c r="D112" s="342"/>
      <c r="E112" s="342"/>
      <c r="F112" s="342"/>
      <c r="G112" s="342"/>
      <c r="H112" s="342"/>
    </row>
    <row r="113" spans="1:8" x14ac:dyDescent="0.25">
      <c r="A113" s="345">
        <v>38763</v>
      </c>
      <c r="B113" s="342">
        <v>7.54</v>
      </c>
      <c r="C113" s="342"/>
      <c r="D113" s="342"/>
      <c r="E113" s="342"/>
      <c r="F113" s="342"/>
      <c r="G113" s="342"/>
      <c r="H113" s="342"/>
    </row>
    <row r="114" spans="1:8" x14ac:dyDescent="0.25">
      <c r="A114" s="345">
        <v>38791</v>
      </c>
      <c r="B114" s="342">
        <v>6.89</v>
      </c>
      <c r="C114" s="342"/>
      <c r="D114" s="342"/>
      <c r="E114" s="342"/>
      <c r="F114" s="342"/>
      <c r="G114" s="342"/>
      <c r="H114" s="342"/>
    </row>
    <row r="115" spans="1:8" x14ac:dyDescent="0.25">
      <c r="A115" s="345">
        <v>38822</v>
      </c>
      <c r="B115" s="342">
        <v>7.16</v>
      </c>
      <c r="C115" s="342"/>
      <c r="D115" s="342"/>
      <c r="E115" s="342"/>
      <c r="F115" s="342"/>
      <c r="G115" s="342"/>
      <c r="H115" s="342"/>
    </row>
    <row r="116" spans="1:8" x14ac:dyDescent="0.25">
      <c r="A116" s="345">
        <v>38852</v>
      </c>
      <c r="B116" s="342">
        <v>6.25</v>
      </c>
      <c r="C116" s="342"/>
      <c r="D116" s="342"/>
      <c r="E116" s="342"/>
      <c r="F116" s="342"/>
      <c r="G116" s="342"/>
      <c r="H116" s="342"/>
    </row>
    <row r="117" spans="1:8" x14ac:dyDescent="0.25">
      <c r="A117" s="345">
        <v>38883</v>
      </c>
      <c r="B117" s="342">
        <v>6.21</v>
      </c>
      <c r="C117" s="342"/>
      <c r="D117" s="342"/>
      <c r="E117" s="342"/>
      <c r="F117" s="342"/>
      <c r="G117" s="342"/>
      <c r="H117" s="342"/>
    </row>
    <row r="118" spans="1:8" x14ac:dyDescent="0.25">
      <c r="A118" s="345">
        <v>38913</v>
      </c>
      <c r="B118" s="342">
        <v>6.17</v>
      </c>
      <c r="C118" s="342"/>
      <c r="D118" s="342"/>
      <c r="E118" s="342"/>
      <c r="F118" s="342"/>
      <c r="G118" s="342"/>
      <c r="H118" s="342"/>
    </row>
    <row r="119" spans="1:8" x14ac:dyDescent="0.25">
      <c r="A119" s="345">
        <v>38944</v>
      </c>
      <c r="B119" s="342">
        <v>7.14</v>
      </c>
      <c r="C119" s="342"/>
      <c r="D119" s="342"/>
      <c r="E119" s="342"/>
      <c r="F119" s="342"/>
      <c r="G119" s="342"/>
      <c r="H119" s="342"/>
    </row>
    <row r="120" spans="1:8" x14ac:dyDescent="0.25">
      <c r="A120" s="345">
        <v>38975</v>
      </c>
      <c r="B120" s="342">
        <v>4.9000000000000004</v>
      </c>
      <c r="C120" s="342"/>
      <c r="D120" s="342"/>
      <c r="E120" s="342"/>
      <c r="F120" s="342"/>
      <c r="G120" s="342"/>
      <c r="H120" s="342"/>
    </row>
    <row r="121" spans="1:8" x14ac:dyDescent="0.25">
      <c r="A121" s="345">
        <v>39005</v>
      </c>
      <c r="B121" s="342">
        <v>5.85</v>
      </c>
      <c r="C121" s="342"/>
      <c r="D121" s="342"/>
      <c r="E121" s="342"/>
      <c r="F121" s="342"/>
      <c r="G121" s="342"/>
      <c r="H121" s="342"/>
    </row>
    <row r="122" spans="1:8" x14ac:dyDescent="0.25">
      <c r="A122" s="345">
        <v>39036</v>
      </c>
      <c r="B122" s="342">
        <v>7.41</v>
      </c>
      <c r="C122" s="342"/>
      <c r="D122" s="342"/>
      <c r="E122" s="342"/>
      <c r="F122" s="342"/>
      <c r="G122" s="342"/>
      <c r="H122" s="342"/>
    </row>
    <row r="123" spans="1:8" x14ac:dyDescent="0.25">
      <c r="A123" s="345">
        <v>39066</v>
      </c>
      <c r="B123" s="342">
        <v>6.73</v>
      </c>
      <c r="C123" s="342"/>
      <c r="D123" s="342"/>
      <c r="E123" s="342"/>
      <c r="F123" s="342"/>
      <c r="G123" s="342"/>
      <c r="H123" s="342"/>
    </row>
    <row r="124" spans="1:8" x14ac:dyDescent="0.25">
      <c r="A124" s="345">
        <v>39097</v>
      </c>
      <c r="B124" s="342">
        <v>6.55</v>
      </c>
      <c r="C124" s="342"/>
      <c r="D124" s="342"/>
      <c r="E124" s="342"/>
      <c r="F124" s="342"/>
      <c r="G124" s="342"/>
      <c r="H124" s="342"/>
    </row>
    <row r="125" spans="1:8" x14ac:dyDescent="0.25">
      <c r="A125" s="345">
        <v>39128</v>
      </c>
      <c r="B125" s="342">
        <v>8</v>
      </c>
      <c r="C125" s="342"/>
      <c r="D125" s="342"/>
      <c r="E125" s="342"/>
      <c r="F125" s="342"/>
      <c r="G125" s="342"/>
      <c r="H125" s="342"/>
    </row>
    <row r="126" spans="1:8" x14ac:dyDescent="0.25">
      <c r="A126" s="345">
        <v>39156</v>
      </c>
      <c r="B126" s="342">
        <v>7.11</v>
      </c>
      <c r="C126" s="342"/>
      <c r="D126" s="342"/>
      <c r="E126" s="342"/>
      <c r="F126" s="342"/>
      <c r="G126" s="342"/>
      <c r="H126" s="342"/>
    </row>
    <row r="127" spans="1:8" x14ac:dyDescent="0.25">
      <c r="A127" s="345">
        <v>39187</v>
      </c>
      <c r="B127" s="342">
        <v>7.6</v>
      </c>
      <c r="C127" s="342"/>
      <c r="D127" s="342"/>
      <c r="E127" s="342"/>
      <c r="F127" s="342"/>
      <c r="G127" s="342"/>
      <c r="H127" s="342"/>
    </row>
    <row r="128" spans="1:8" x14ac:dyDescent="0.25">
      <c r="A128" s="345">
        <v>39217</v>
      </c>
      <c r="B128" s="342">
        <v>7.64</v>
      </c>
      <c r="C128" s="342"/>
      <c r="D128" s="342"/>
      <c r="E128" s="342"/>
      <c r="F128" s="342"/>
      <c r="G128" s="342"/>
      <c r="H128" s="342"/>
    </row>
    <row r="129" spans="1:8" x14ac:dyDescent="0.25">
      <c r="A129" s="345">
        <v>39248</v>
      </c>
      <c r="B129" s="342">
        <v>7.35</v>
      </c>
      <c r="C129" s="342"/>
      <c r="D129" s="342"/>
      <c r="E129" s="342"/>
      <c r="F129" s="342"/>
      <c r="G129" s="342"/>
      <c r="H129" s="342"/>
    </row>
    <row r="130" spans="1:8" x14ac:dyDescent="0.25">
      <c r="A130" s="345">
        <v>39278</v>
      </c>
      <c r="B130" s="342">
        <v>6.22</v>
      </c>
      <c r="C130" s="342"/>
      <c r="D130" s="342"/>
      <c r="E130" s="342"/>
      <c r="F130" s="342"/>
      <c r="G130" s="342"/>
      <c r="H130" s="342"/>
    </row>
    <row r="131" spans="1:8" x14ac:dyDescent="0.25">
      <c r="A131" s="345">
        <v>39309</v>
      </c>
      <c r="B131" s="342">
        <v>6.22</v>
      </c>
      <c r="C131" s="342"/>
      <c r="D131" s="342"/>
      <c r="E131" s="342"/>
      <c r="F131" s="342"/>
      <c r="G131" s="342"/>
      <c r="H131" s="342"/>
    </row>
    <row r="132" spans="1:8" x14ac:dyDescent="0.25">
      <c r="A132" s="345">
        <v>39340</v>
      </c>
      <c r="B132" s="342">
        <v>6.08</v>
      </c>
      <c r="C132" s="342"/>
      <c r="D132" s="342"/>
      <c r="E132" s="342"/>
      <c r="F132" s="342"/>
      <c r="G132" s="342"/>
      <c r="H132" s="342"/>
    </row>
    <row r="133" spans="1:8" x14ac:dyDescent="0.25">
      <c r="A133" s="345">
        <v>39370</v>
      </c>
      <c r="B133" s="342">
        <v>6.74</v>
      </c>
      <c r="C133" s="342"/>
      <c r="D133" s="342"/>
      <c r="E133" s="342"/>
      <c r="F133" s="342"/>
      <c r="G133" s="342"/>
      <c r="H133" s="342"/>
    </row>
    <row r="134" spans="1:8" x14ac:dyDescent="0.25">
      <c r="A134" s="345">
        <v>39401</v>
      </c>
      <c r="B134" s="342">
        <v>7.1</v>
      </c>
      <c r="C134" s="342"/>
      <c r="D134" s="342"/>
      <c r="E134" s="342"/>
      <c r="F134" s="342"/>
      <c r="G134" s="342"/>
      <c r="H134" s="342"/>
    </row>
    <row r="135" spans="1:8" x14ac:dyDescent="0.25">
      <c r="A135" s="345">
        <v>39431</v>
      </c>
      <c r="B135" s="342">
        <v>7.11</v>
      </c>
      <c r="C135" s="342"/>
      <c r="D135" s="342"/>
      <c r="E135" s="342"/>
      <c r="F135" s="342"/>
      <c r="G135" s="342"/>
      <c r="H135" s="342"/>
    </row>
    <row r="136" spans="1:8" x14ac:dyDescent="0.25">
      <c r="A136" s="345">
        <v>39462</v>
      </c>
      <c r="B136" s="342">
        <v>7.99</v>
      </c>
      <c r="C136" s="342"/>
      <c r="D136" s="342"/>
      <c r="E136" s="342"/>
      <c r="F136" s="342"/>
      <c r="G136" s="342"/>
      <c r="H136" s="342"/>
    </row>
    <row r="137" spans="1:8" x14ac:dyDescent="0.25">
      <c r="A137" s="345">
        <v>39493</v>
      </c>
      <c r="B137" s="342">
        <v>8.5399999999999991</v>
      </c>
      <c r="C137" s="342"/>
      <c r="D137" s="342"/>
      <c r="E137" s="342"/>
      <c r="F137" s="342"/>
      <c r="G137" s="342"/>
      <c r="H137" s="342"/>
    </row>
    <row r="138" spans="1:8" x14ac:dyDescent="0.25">
      <c r="A138" s="345">
        <v>39522</v>
      </c>
      <c r="B138" s="342">
        <v>9.41</v>
      </c>
      <c r="C138" s="342"/>
      <c r="D138" s="342"/>
      <c r="E138" s="342"/>
      <c r="F138" s="342"/>
      <c r="G138" s="342"/>
      <c r="H138" s="342"/>
    </row>
    <row r="139" spans="1:8" x14ac:dyDescent="0.25">
      <c r="A139" s="345">
        <v>39553</v>
      </c>
      <c r="B139" s="342">
        <v>10.18</v>
      </c>
      <c r="C139" s="342"/>
      <c r="D139" s="342"/>
      <c r="E139" s="342"/>
      <c r="F139" s="342"/>
      <c r="G139" s="342"/>
      <c r="H139" s="342"/>
    </row>
    <row r="140" spans="1:8" x14ac:dyDescent="0.25">
      <c r="A140" s="345">
        <v>39583</v>
      </c>
      <c r="B140" s="342">
        <v>11.27</v>
      </c>
      <c r="C140" s="342"/>
      <c r="D140" s="342"/>
      <c r="E140" s="342"/>
      <c r="F140" s="342"/>
      <c r="G140" s="342"/>
      <c r="H140" s="342"/>
    </row>
    <row r="141" spans="1:8" x14ac:dyDescent="0.25">
      <c r="A141" s="345">
        <v>39614</v>
      </c>
      <c r="B141" s="342">
        <v>12.69</v>
      </c>
      <c r="C141" s="342"/>
      <c r="D141" s="342"/>
      <c r="E141" s="342"/>
      <c r="F141" s="342"/>
      <c r="G141" s="342"/>
      <c r="H141" s="342"/>
    </row>
    <row r="142" spans="1:8" x14ac:dyDescent="0.25">
      <c r="A142" s="345">
        <v>39644</v>
      </c>
      <c r="B142" s="342">
        <v>11.09</v>
      </c>
      <c r="C142" s="342"/>
      <c r="D142" s="342"/>
      <c r="E142" s="342"/>
      <c r="F142" s="342"/>
      <c r="G142" s="342"/>
      <c r="H142" s="342"/>
    </row>
    <row r="143" spans="1:8" x14ac:dyDescent="0.25">
      <c r="A143" s="345">
        <v>39675</v>
      </c>
      <c r="B143" s="342">
        <v>8.26</v>
      </c>
      <c r="C143" s="342"/>
      <c r="D143" s="342"/>
      <c r="E143" s="342"/>
      <c r="F143" s="342"/>
      <c r="G143" s="342"/>
      <c r="H143" s="342"/>
    </row>
    <row r="144" spans="1:8" x14ac:dyDescent="0.25">
      <c r="A144" s="345">
        <v>39706</v>
      </c>
      <c r="B144" s="342">
        <v>7.67</v>
      </c>
      <c r="C144" s="342"/>
      <c r="D144" s="342"/>
      <c r="E144" s="342"/>
      <c r="F144" s="342"/>
      <c r="G144" s="342"/>
      <c r="H144" s="342"/>
    </row>
    <row r="145" spans="1:8" x14ac:dyDescent="0.25">
      <c r="A145" s="345">
        <v>39736</v>
      </c>
      <c r="B145" s="342">
        <v>6.74</v>
      </c>
      <c r="C145" s="342"/>
      <c r="D145" s="342"/>
      <c r="E145" s="342"/>
      <c r="F145" s="342"/>
      <c r="G145" s="342"/>
      <c r="H145" s="342"/>
    </row>
    <row r="146" spans="1:8" x14ac:dyDescent="0.25">
      <c r="A146" s="345">
        <v>39767</v>
      </c>
      <c r="B146" s="342">
        <v>6.68</v>
      </c>
      <c r="C146" s="342"/>
      <c r="D146" s="342"/>
      <c r="E146" s="342"/>
      <c r="F146" s="342"/>
      <c r="G146" s="342"/>
      <c r="H146" s="342"/>
    </row>
    <row r="147" spans="1:8" x14ac:dyDescent="0.25">
      <c r="A147" s="345">
        <v>39797</v>
      </c>
      <c r="B147" s="342">
        <v>5.82</v>
      </c>
      <c r="C147" s="342"/>
      <c r="D147" s="342"/>
      <c r="E147" s="342"/>
      <c r="F147" s="342"/>
      <c r="G147" s="342"/>
      <c r="H147" s="342"/>
    </row>
    <row r="148" spans="1:8" x14ac:dyDescent="0.25">
      <c r="A148" s="345">
        <v>39828</v>
      </c>
      <c r="B148" s="342">
        <v>5.24</v>
      </c>
      <c r="C148" s="342"/>
      <c r="D148" s="342"/>
      <c r="E148" s="342"/>
      <c r="F148" s="342"/>
      <c r="G148" s="342"/>
      <c r="H148" s="342"/>
    </row>
    <row r="149" spans="1:8" x14ac:dyDescent="0.25">
      <c r="A149" s="345">
        <v>39859</v>
      </c>
      <c r="B149" s="342">
        <v>4.5199999999999996</v>
      </c>
      <c r="C149" s="342"/>
      <c r="D149" s="342"/>
      <c r="E149" s="342"/>
      <c r="F149" s="342"/>
      <c r="G149" s="342"/>
      <c r="H149" s="342"/>
    </row>
    <row r="150" spans="1:8" x14ac:dyDescent="0.25">
      <c r="A150" s="345">
        <v>39887</v>
      </c>
      <c r="B150" s="342">
        <v>3.96</v>
      </c>
      <c r="C150" s="342"/>
      <c r="D150" s="342"/>
      <c r="E150" s="342"/>
      <c r="F150" s="342"/>
      <c r="G150" s="342"/>
      <c r="H150" s="342"/>
    </row>
    <row r="151" spans="1:8" x14ac:dyDescent="0.25">
      <c r="A151" s="345">
        <v>39918</v>
      </c>
      <c r="B151" s="342">
        <v>3.5</v>
      </c>
      <c r="C151" s="342"/>
      <c r="D151" s="342"/>
      <c r="E151" s="342"/>
      <c r="F151" s="342"/>
      <c r="G151" s="342"/>
      <c r="H151" s="342"/>
    </row>
    <row r="152" spans="1:8" x14ac:dyDescent="0.25">
      <c r="A152" s="345">
        <v>39948</v>
      </c>
      <c r="B152" s="342">
        <v>3.83</v>
      </c>
      <c r="C152" s="342"/>
      <c r="D152" s="342"/>
      <c r="E152" s="342"/>
      <c r="F152" s="342"/>
      <c r="G152" s="342"/>
      <c r="H152" s="342"/>
    </row>
    <row r="153" spans="1:8" x14ac:dyDescent="0.25">
      <c r="A153" s="345">
        <v>39979</v>
      </c>
      <c r="B153" s="342">
        <v>3.8</v>
      </c>
      <c r="C153" s="342"/>
      <c r="D153" s="342"/>
      <c r="E153" s="342"/>
      <c r="F153" s="342"/>
      <c r="G153" s="342"/>
      <c r="H153" s="342"/>
    </row>
    <row r="154" spans="1:8" x14ac:dyDescent="0.25">
      <c r="A154" s="345">
        <v>40009</v>
      </c>
      <c r="B154" s="342">
        <v>3.38</v>
      </c>
      <c r="C154" s="342"/>
      <c r="D154" s="342"/>
      <c r="E154" s="342"/>
      <c r="F154" s="342"/>
      <c r="G154" s="342"/>
      <c r="H154" s="342"/>
    </row>
    <row r="155" spans="1:8" x14ac:dyDescent="0.25">
      <c r="A155" s="345">
        <v>40040</v>
      </c>
      <c r="B155" s="342">
        <v>3.14</v>
      </c>
      <c r="C155" s="342"/>
      <c r="D155" s="342"/>
      <c r="E155" s="342"/>
      <c r="F155" s="342"/>
      <c r="G155" s="342"/>
      <c r="H155" s="342"/>
    </row>
    <row r="156" spans="1:8" x14ac:dyDescent="0.25">
      <c r="A156" s="345">
        <v>40071</v>
      </c>
      <c r="B156" s="342">
        <v>2.99</v>
      </c>
      <c r="C156" s="342"/>
      <c r="D156" s="342"/>
      <c r="E156" s="342"/>
      <c r="F156" s="342"/>
      <c r="G156" s="342"/>
      <c r="H156" s="342"/>
    </row>
    <row r="157" spans="1:8" x14ac:dyDescent="0.25">
      <c r="A157" s="345">
        <v>40101</v>
      </c>
      <c r="B157" s="342">
        <v>4.01</v>
      </c>
      <c r="C157" s="342"/>
      <c r="D157" s="342"/>
      <c r="E157" s="342"/>
      <c r="F157" s="342"/>
      <c r="G157" s="342"/>
      <c r="H157" s="342"/>
    </row>
    <row r="158" spans="1:8" x14ac:dyDescent="0.25">
      <c r="A158" s="345">
        <v>40132</v>
      </c>
      <c r="B158" s="342">
        <v>3.66</v>
      </c>
      <c r="C158" s="342"/>
      <c r="D158" s="342"/>
      <c r="E158" s="342"/>
      <c r="F158" s="342"/>
      <c r="G158" s="342"/>
      <c r="H158" s="342"/>
    </row>
    <row r="159" spans="1:8" x14ac:dyDescent="0.25">
      <c r="A159" s="345">
        <v>40162</v>
      </c>
      <c r="B159" s="342">
        <v>5.35</v>
      </c>
      <c r="C159" s="342"/>
      <c r="D159" s="342"/>
      <c r="E159" s="342"/>
      <c r="F159" s="342"/>
      <c r="G159" s="342"/>
      <c r="H159" s="342"/>
    </row>
    <row r="160" spans="1:8" x14ac:dyDescent="0.25">
      <c r="A160" s="345">
        <v>40193</v>
      </c>
      <c r="B160" s="342">
        <v>5.83</v>
      </c>
      <c r="C160" s="342"/>
      <c r="D160" s="342"/>
      <c r="E160" s="342"/>
      <c r="F160" s="342"/>
      <c r="G160" s="342"/>
      <c r="H160" s="342"/>
    </row>
    <row r="161" spans="1:8" x14ac:dyDescent="0.25">
      <c r="A161" s="345">
        <v>40224</v>
      </c>
      <c r="B161" s="342">
        <v>5.32</v>
      </c>
      <c r="C161" s="342"/>
      <c r="D161" s="342"/>
      <c r="E161" s="342"/>
      <c r="F161" s="342"/>
      <c r="G161" s="342"/>
      <c r="H161" s="342"/>
    </row>
    <row r="162" spans="1:8" x14ac:dyDescent="0.25">
      <c r="A162" s="345">
        <v>40252</v>
      </c>
      <c r="B162" s="342">
        <v>4.29</v>
      </c>
      <c r="C162" s="342"/>
      <c r="D162" s="342"/>
      <c r="E162" s="342"/>
      <c r="F162" s="342"/>
      <c r="G162" s="342"/>
      <c r="H162" s="342"/>
    </row>
    <row r="163" spans="1:8" x14ac:dyDescent="0.25">
      <c r="A163" s="345">
        <v>40283</v>
      </c>
      <c r="B163" s="342">
        <v>4.03</v>
      </c>
      <c r="C163" s="342"/>
      <c r="D163" s="342"/>
      <c r="E163" s="342"/>
      <c r="F163" s="342"/>
      <c r="G163" s="342"/>
      <c r="H163" s="342"/>
    </row>
    <row r="164" spans="1:8" x14ac:dyDescent="0.25">
      <c r="A164" s="345">
        <v>40313</v>
      </c>
      <c r="B164" s="342">
        <v>4.1399999999999997</v>
      </c>
      <c r="C164" s="342"/>
      <c r="D164" s="342"/>
      <c r="E164" s="342"/>
      <c r="F164" s="342"/>
      <c r="G164" s="342"/>
      <c r="H164" s="342"/>
    </row>
    <row r="165" spans="1:8" x14ac:dyDescent="0.25">
      <c r="A165" s="345">
        <v>40344</v>
      </c>
      <c r="B165" s="342">
        <v>4.8</v>
      </c>
      <c r="C165" s="342"/>
      <c r="D165" s="342"/>
      <c r="E165" s="342"/>
      <c r="F165" s="342"/>
      <c r="G165" s="342"/>
      <c r="H165" s="342"/>
    </row>
    <row r="166" spans="1:8" x14ac:dyDescent="0.25">
      <c r="A166" s="345">
        <v>40374</v>
      </c>
      <c r="B166" s="342">
        <v>4.63</v>
      </c>
      <c r="C166" s="342"/>
      <c r="D166" s="342"/>
      <c r="E166" s="342"/>
      <c r="F166" s="342"/>
      <c r="G166" s="342"/>
      <c r="H166" s="342"/>
    </row>
    <row r="167" spans="1:8" x14ac:dyDescent="0.25">
      <c r="A167" s="345">
        <v>40405</v>
      </c>
      <c r="B167" s="342">
        <v>4.32</v>
      </c>
      <c r="C167" s="342"/>
      <c r="D167" s="342"/>
      <c r="E167" s="342"/>
      <c r="F167" s="342"/>
      <c r="G167" s="342"/>
      <c r="H167" s="342"/>
    </row>
    <row r="168" spans="1:8" x14ac:dyDescent="0.25">
      <c r="A168" s="345">
        <v>40436</v>
      </c>
      <c r="B168" s="342">
        <v>3.89</v>
      </c>
      <c r="C168" s="342"/>
      <c r="D168" s="342"/>
      <c r="E168" s="342"/>
      <c r="F168" s="342"/>
      <c r="G168" s="342"/>
      <c r="H168" s="342"/>
    </row>
    <row r="169" spans="1:8" x14ac:dyDescent="0.25">
      <c r="A169" s="345">
        <v>40466</v>
      </c>
      <c r="B169" s="342">
        <v>3.43</v>
      </c>
      <c r="C169" s="342"/>
      <c r="D169" s="342"/>
      <c r="E169" s="342"/>
      <c r="F169" s="342"/>
      <c r="G169" s="342"/>
      <c r="H169" s="342"/>
    </row>
    <row r="170" spans="1:8" x14ac:dyDescent="0.25">
      <c r="A170" s="345">
        <v>40497</v>
      </c>
      <c r="B170" s="342">
        <v>3.71</v>
      </c>
      <c r="C170" s="342"/>
      <c r="D170" s="342"/>
      <c r="E170" s="342"/>
      <c r="F170" s="342"/>
      <c r="G170" s="342"/>
      <c r="H170" s="342"/>
    </row>
    <row r="171" spans="1:8" x14ac:dyDescent="0.25">
      <c r="A171" s="345">
        <v>40527</v>
      </c>
      <c r="B171" s="342">
        <v>4.25</v>
      </c>
      <c r="C171" s="342"/>
      <c r="D171" s="342"/>
      <c r="E171" s="342"/>
      <c r="F171" s="342"/>
      <c r="G171" s="342"/>
      <c r="H171" s="342"/>
    </row>
    <row r="172" spans="1:8" x14ac:dyDescent="0.25">
      <c r="A172" s="345">
        <v>40558</v>
      </c>
      <c r="B172" s="342">
        <v>4.49</v>
      </c>
      <c r="C172" s="342"/>
      <c r="D172" s="342"/>
      <c r="E172" s="342"/>
      <c r="F172" s="342"/>
      <c r="G172" s="342"/>
      <c r="H172" s="342"/>
    </row>
    <row r="173" spans="1:8" x14ac:dyDescent="0.25">
      <c r="A173" s="345">
        <v>40589</v>
      </c>
      <c r="B173" s="342">
        <v>4.09</v>
      </c>
      <c r="C173" s="342"/>
      <c r="D173" s="342"/>
      <c r="E173" s="342"/>
      <c r="F173" s="342"/>
      <c r="G173" s="342"/>
      <c r="H173" s="342"/>
    </row>
    <row r="174" spans="1:8" x14ac:dyDescent="0.25">
      <c r="A174" s="345">
        <v>40617</v>
      </c>
      <c r="B174" s="342">
        <v>3.97</v>
      </c>
      <c r="C174" s="342"/>
      <c r="D174" s="342"/>
      <c r="E174" s="342"/>
      <c r="F174" s="342"/>
      <c r="G174" s="342"/>
      <c r="H174" s="342"/>
    </row>
    <row r="175" spans="1:8" x14ac:dyDescent="0.25">
      <c r="A175" s="345">
        <v>40648</v>
      </c>
      <c r="B175" s="342">
        <v>4.24</v>
      </c>
      <c r="C175" s="342"/>
      <c r="D175" s="342"/>
      <c r="E175" s="342"/>
      <c r="F175" s="342"/>
      <c r="G175" s="342"/>
      <c r="H175" s="342"/>
    </row>
    <row r="176" spans="1:8" x14ac:dyDescent="0.25">
      <c r="A176" s="345">
        <v>40678</v>
      </c>
      <c r="B176" s="342">
        <v>4.3099999999999996</v>
      </c>
      <c r="C176" s="342"/>
      <c r="D176" s="342"/>
      <c r="E176" s="342"/>
      <c r="F176" s="342"/>
      <c r="G176" s="342"/>
      <c r="H176" s="342"/>
    </row>
    <row r="177" spans="1:8" x14ac:dyDescent="0.25">
      <c r="A177" s="345">
        <v>40709</v>
      </c>
      <c r="B177" s="342">
        <v>4.54</v>
      </c>
      <c r="C177" s="342"/>
      <c r="D177" s="342"/>
      <c r="E177" s="342"/>
      <c r="F177" s="342"/>
      <c r="G177" s="342"/>
      <c r="H177" s="342"/>
    </row>
    <row r="178" spans="1:8" x14ac:dyDescent="0.25">
      <c r="A178" s="345">
        <v>40739</v>
      </c>
      <c r="B178" s="342">
        <v>4.42</v>
      </c>
      <c r="C178" s="342"/>
      <c r="D178" s="342"/>
      <c r="E178" s="342"/>
      <c r="F178" s="342"/>
      <c r="G178" s="342"/>
      <c r="H178" s="342"/>
    </row>
    <row r="179" spans="1:8" x14ac:dyDescent="0.25">
      <c r="A179" s="345">
        <v>40770</v>
      </c>
      <c r="B179" s="342">
        <v>4.0599999999999996</v>
      </c>
      <c r="C179" s="342"/>
      <c r="D179" s="342"/>
      <c r="E179" s="342"/>
      <c r="F179" s="342"/>
      <c r="G179" s="342"/>
      <c r="H179" s="342"/>
    </row>
    <row r="180" spans="1:8" x14ac:dyDescent="0.25">
      <c r="A180" s="345">
        <v>40801</v>
      </c>
      <c r="B180" s="342">
        <v>3.9</v>
      </c>
      <c r="C180" s="342"/>
      <c r="D180" s="342"/>
      <c r="E180" s="342"/>
      <c r="F180" s="342"/>
      <c r="G180" s="342"/>
      <c r="H180" s="342"/>
    </row>
    <row r="181" spans="1:8" x14ac:dyDescent="0.25">
      <c r="A181" s="345">
        <v>40831</v>
      </c>
      <c r="B181" s="342">
        <v>3.57</v>
      </c>
      <c r="C181" s="342"/>
      <c r="D181" s="342"/>
      <c r="E181" s="342"/>
      <c r="F181" s="342"/>
      <c r="G181" s="342"/>
      <c r="H181" s="342"/>
    </row>
    <row r="182" spans="1:8" x14ac:dyDescent="0.25">
      <c r="A182" s="345">
        <v>40862</v>
      </c>
      <c r="B182" s="342">
        <v>3.24</v>
      </c>
      <c r="C182" s="342"/>
      <c r="D182" s="342"/>
      <c r="E182" s="342"/>
      <c r="F182" s="342"/>
      <c r="G182" s="342"/>
      <c r="H182" s="342"/>
    </row>
    <row r="183" spans="1:8" x14ac:dyDescent="0.25">
      <c r="A183" s="345">
        <v>40892</v>
      </c>
      <c r="B183" s="342">
        <v>3.17</v>
      </c>
      <c r="C183" s="342"/>
      <c r="D183" s="342"/>
      <c r="E183" s="342"/>
      <c r="F183" s="342"/>
      <c r="G183" s="342"/>
      <c r="H183" s="342"/>
    </row>
    <row r="184" spans="1:8" x14ac:dyDescent="0.25">
      <c r="A184" s="345">
        <v>40923</v>
      </c>
      <c r="B184" s="342">
        <v>2.67</v>
      </c>
      <c r="C184" s="342"/>
      <c r="D184" s="342"/>
      <c r="E184" s="342"/>
      <c r="F184" s="342"/>
      <c r="G184" s="342"/>
      <c r="H184" s="342"/>
    </row>
    <row r="185" spans="1:8" x14ac:dyDescent="0.25">
      <c r="A185" s="345">
        <v>40954</v>
      </c>
      <c r="B185" s="342">
        <v>2.5099999999999998</v>
      </c>
      <c r="C185" s="342"/>
      <c r="D185" s="342"/>
      <c r="E185" s="342"/>
      <c r="F185" s="342"/>
      <c r="G185" s="342"/>
      <c r="H185" s="342"/>
    </row>
    <row r="186" spans="1:8" x14ac:dyDescent="0.25">
      <c r="A186" s="345">
        <v>40983</v>
      </c>
      <c r="B186" s="342">
        <v>2.17</v>
      </c>
      <c r="C186" s="342"/>
      <c r="D186" s="342"/>
      <c r="E186" s="342"/>
      <c r="F186" s="342"/>
      <c r="G186" s="342"/>
      <c r="H186" s="342"/>
    </row>
    <row r="187" spans="1:8" x14ac:dyDescent="0.25">
      <c r="A187" s="345">
        <v>41014</v>
      </c>
      <c r="B187" s="342">
        <v>1.95</v>
      </c>
      <c r="C187" s="342"/>
      <c r="D187" s="342"/>
      <c r="E187" s="342"/>
      <c r="F187" s="342"/>
      <c r="G187" s="342"/>
      <c r="H187" s="342"/>
    </row>
    <row r="188" spans="1:8" x14ac:dyDescent="0.25">
      <c r="A188" s="345">
        <v>41044</v>
      </c>
      <c r="B188" s="342">
        <v>2.4300000000000002</v>
      </c>
      <c r="C188" s="342"/>
      <c r="D188" s="342"/>
      <c r="E188" s="342"/>
      <c r="F188" s="342"/>
      <c r="G188" s="342"/>
      <c r="H188" s="342"/>
    </row>
    <row r="189" spans="1:8" x14ac:dyDescent="0.25">
      <c r="A189" s="345">
        <v>41075</v>
      </c>
      <c r="B189" s="342">
        <v>2.46</v>
      </c>
      <c r="C189" s="342"/>
      <c r="D189" s="342"/>
      <c r="E189" s="342"/>
      <c r="F189" s="342"/>
      <c r="G189" s="342"/>
      <c r="H189" s="342"/>
    </row>
    <row r="190" spans="1:8" x14ac:dyDescent="0.25">
      <c r="A190" s="345">
        <v>41105</v>
      </c>
      <c r="B190" s="342">
        <v>2.95</v>
      </c>
      <c r="C190" s="342"/>
      <c r="D190" s="342"/>
      <c r="E190" s="342"/>
      <c r="F190" s="342"/>
      <c r="G190" s="342"/>
      <c r="H190" s="342"/>
    </row>
    <row r="191" spans="1:8" x14ac:dyDescent="0.25">
      <c r="A191" s="345">
        <v>41136</v>
      </c>
      <c r="B191" s="342">
        <v>2.84</v>
      </c>
      <c r="C191" s="342"/>
      <c r="D191" s="342"/>
      <c r="E191" s="342"/>
      <c r="F191" s="342"/>
      <c r="G191" s="342"/>
      <c r="H191" s="342"/>
    </row>
    <row r="192" spans="1:8" x14ac:dyDescent="0.25">
      <c r="A192" s="345">
        <v>41167</v>
      </c>
      <c r="B192" s="342">
        <v>2.85</v>
      </c>
      <c r="C192" s="342"/>
      <c r="D192" s="342"/>
      <c r="E192" s="342"/>
      <c r="F192" s="342"/>
      <c r="G192" s="342"/>
      <c r="H192" s="342"/>
    </row>
    <row r="193" spans="1:8" x14ac:dyDescent="0.25">
      <c r="A193" s="345">
        <v>41197</v>
      </c>
      <c r="B193" s="342">
        <v>3.32</v>
      </c>
      <c r="C193" s="342"/>
      <c r="D193" s="342"/>
      <c r="E193" s="342"/>
      <c r="F193" s="342"/>
      <c r="G193" s="342"/>
      <c r="H193" s="342"/>
    </row>
    <row r="194" spans="1:8" x14ac:dyDescent="0.25">
      <c r="A194" s="345">
        <v>41228</v>
      </c>
      <c r="B194" s="342">
        <v>3.54</v>
      </c>
      <c r="C194" s="342"/>
      <c r="D194" s="342"/>
      <c r="E194" s="342"/>
      <c r="F194" s="342"/>
      <c r="G194" s="342"/>
      <c r="H194" s="342"/>
    </row>
    <row r="195" spans="1:8" x14ac:dyDescent="0.25">
      <c r="A195" s="345">
        <v>41258</v>
      </c>
      <c r="B195" s="342">
        <v>3.34</v>
      </c>
      <c r="C195" s="342"/>
      <c r="D195" s="342"/>
      <c r="E195" s="342"/>
      <c r="F195" s="342"/>
      <c r="G195" s="342"/>
      <c r="H195" s="342"/>
    </row>
    <row r="196" spans="1:8" x14ac:dyDescent="0.25">
      <c r="A196" s="345">
        <v>41289</v>
      </c>
      <c r="B196" s="342">
        <v>3.33</v>
      </c>
      <c r="C196" s="342"/>
      <c r="D196" s="342"/>
      <c r="E196" s="342"/>
      <c r="F196" s="342"/>
      <c r="G196" s="342"/>
      <c r="H196" s="342"/>
    </row>
    <row r="197" spans="1:8" x14ac:dyDescent="0.25">
      <c r="A197" s="345">
        <v>41320</v>
      </c>
      <c r="B197" s="342">
        <v>3.33</v>
      </c>
      <c r="C197" s="342"/>
      <c r="D197" s="342"/>
      <c r="E197" s="342"/>
      <c r="F197" s="342"/>
      <c r="G197" s="342"/>
      <c r="H197" s="342"/>
    </row>
    <row r="198" spans="1:8" x14ac:dyDescent="0.25">
      <c r="A198" s="345">
        <v>41348</v>
      </c>
      <c r="B198" s="342">
        <v>3.81</v>
      </c>
      <c r="C198" s="342"/>
      <c r="D198" s="342"/>
      <c r="E198" s="342"/>
      <c r="F198" s="342"/>
      <c r="G198" s="342"/>
      <c r="H198" s="342"/>
    </row>
    <row r="199" spans="1:8" x14ac:dyDescent="0.25">
      <c r="A199" s="345">
        <v>41379</v>
      </c>
      <c r="B199" s="342">
        <v>4.17</v>
      </c>
      <c r="C199" s="342"/>
      <c r="D199" s="342"/>
      <c r="E199" s="342"/>
      <c r="F199" s="342"/>
      <c r="G199" s="342"/>
      <c r="H199" s="342"/>
    </row>
    <row r="200" spans="1:8" x14ac:dyDescent="0.25">
      <c r="A200" s="345">
        <v>41409</v>
      </c>
      <c r="B200" s="342">
        <v>4.04</v>
      </c>
      <c r="C200" s="342"/>
      <c r="D200" s="342"/>
      <c r="E200" s="342"/>
      <c r="F200" s="342"/>
      <c r="G200" s="342"/>
      <c r="H200" s="342"/>
    </row>
    <row r="201" spans="1:8" x14ac:dyDescent="0.25">
      <c r="A201" s="345">
        <v>41440</v>
      </c>
      <c r="B201" s="342">
        <v>3.83</v>
      </c>
      <c r="C201" s="342"/>
      <c r="D201" s="342"/>
      <c r="E201" s="342"/>
      <c r="F201" s="342"/>
      <c r="G201" s="342"/>
      <c r="H201" s="342"/>
    </row>
    <row r="202" spans="1:8" x14ac:dyDescent="0.25">
      <c r="A202" s="345">
        <v>41470</v>
      </c>
      <c r="B202" s="342">
        <v>3.62</v>
      </c>
      <c r="C202" s="342"/>
      <c r="D202" s="342"/>
      <c r="E202" s="342"/>
      <c r="F202" s="342"/>
      <c r="G202" s="342"/>
      <c r="H202" s="342"/>
    </row>
    <row r="203" spans="1:8" x14ac:dyDescent="0.25">
      <c r="A203" s="345">
        <v>41501</v>
      </c>
      <c r="B203" s="342">
        <v>3.43</v>
      </c>
      <c r="C203" s="342"/>
      <c r="D203" s="342"/>
      <c r="E203" s="342"/>
      <c r="F203" s="342"/>
      <c r="G203" s="342"/>
      <c r="H203" s="342"/>
    </row>
    <row r="204" spans="1:8" x14ac:dyDescent="0.25">
      <c r="A204" s="345">
        <v>41532</v>
      </c>
      <c r="B204" s="342">
        <v>3.62</v>
      </c>
      <c r="C204" s="342"/>
      <c r="D204" s="342"/>
      <c r="E204" s="342"/>
      <c r="F204" s="342"/>
      <c r="G204" s="342"/>
      <c r="H204" s="342"/>
    </row>
    <row r="205" spans="1:8" x14ac:dyDescent="0.25">
      <c r="A205" s="345">
        <v>41562</v>
      </c>
      <c r="B205" s="342">
        <v>3.68</v>
      </c>
      <c r="C205" s="342"/>
      <c r="D205" s="342"/>
      <c r="E205" s="342"/>
      <c r="F205" s="342"/>
      <c r="G205" s="342"/>
      <c r="H205" s="342"/>
    </row>
    <row r="206" spans="1:8" x14ac:dyDescent="0.25">
      <c r="A206" s="345">
        <v>41593</v>
      </c>
      <c r="B206" s="342">
        <v>3.64</v>
      </c>
      <c r="C206" s="342"/>
      <c r="D206" s="342"/>
      <c r="E206" s="342"/>
      <c r="F206" s="342"/>
      <c r="G206" s="342"/>
      <c r="H206" s="342"/>
    </row>
    <row r="207" spans="1:8" x14ac:dyDescent="0.25">
      <c r="A207" s="345">
        <v>41623</v>
      </c>
      <c r="B207" s="342">
        <v>4.24</v>
      </c>
      <c r="C207" s="342"/>
      <c r="D207" s="342"/>
      <c r="E207" s="342"/>
      <c r="F207" s="342"/>
      <c r="G207" s="342"/>
      <c r="H207" s="342"/>
    </row>
    <row r="208" spans="1:8" x14ac:dyDescent="0.25">
      <c r="A208" s="345">
        <v>41654</v>
      </c>
      <c r="B208" s="342">
        <v>4.71</v>
      </c>
      <c r="C208" s="342"/>
      <c r="D208" s="342"/>
      <c r="E208" s="342"/>
      <c r="F208" s="342"/>
      <c r="G208" s="342"/>
      <c r="H208" s="342"/>
    </row>
    <row r="209" spans="1:8" x14ac:dyDescent="0.25">
      <c r="A209" s="345">
        <v>41685</v>
      </c>
      <c r="B209" s="342">
        <v>6</v>
      </c>
      <c r="C209" s="342"/>
      <c r="D209" s="342"/>
      <c r="E209" s="342"/>
      <c r="F209" s="342"/>
      <c r="G209" s="342"/>
      <c r="H209" s="342"/>
    </row>
    <row r="210" spans="1:8" x14ac:dyDescent="0.25">
      <c r="A210" s="345">
        <v>41713</v>
      </c>
      <c r="B210" s="342">
        <v>4.9000000000000004</v>
      </c>
      <c r="C210" s="342"/>
      <c r="D210" s="342"/>
      <c r="E210" s="342"/>
      <c r="F210" s="342"/>
      <c r="G210" s="342"/>
      <c r="H210" s="342"/>
    </row>
    <row r="211" spans="1:8" x14ac:dyDescent="0.25">
      <c r="A211" s="345">
        <v>41744</v>
      </c>
      <c r="B211" s="342">
        <v>4.66</v>
      </c>
      <c r="C211" s="342"/>
      <c r="D211" s="342"/>
      <c r="E211" s="342"/>
      <c r="F211" s="342"/>
      <c r="G211" s="342"/>
      <c r="H211" s="342"/>
    </row>
    <row r="212" spans="1:8" x14ac:dyDescent="0.25">
      <c r="A212" s="345">
        <v>41774</v>
      </c>
      <c r="B212" s="342">
        <v>4.58</v>
      </c>
      <c r="C212" s="342"/>
      <c r="D212" s="342"/>
      <c r="E212" s="342"/>
      <c r="F212" s="342"/>
      <c r="G212" s="342"/>
      <c r="H212" s="342"/>
    </row>
    <row r="213" spans="1:8" x14ac:dyDescent="0.25">
      <c r="A213" s="345">
        <v>41805</v>
      </c>
      <c r="B213" s="342">
        <v>4.59</v>
      </c>
      <c r="C213" s="342"/>
      <c r="D213" s="342"/>
      <c r="E213" s="342"/>
      <c r="F213" s="342"/>
      <c r="G213" s="342"/>
      <c r="H213" s="342"/>
    </row>
    <row r="214" spans="1:8" x14ac:dyDescent="0.25">
      <c r="A214" s="345">
        <v>41835</v>
      </c>
      <c r="B214" s="342">
        <v>4.05</v>
      </c>
      <c r="C214" s="342"/>
      <c r="D214" s="342"/>
      <c r="E214" s="342"/>
      <c r="F214" s="342"/>
      <c r="G214" s="342"/>
      <c r="H214" s="342"/>
    </row>
    <row r="215" spans="1:8" x14ac:dyDescent="0.25">
      <c r="A215" s="345">
        <v>41866</v>
      </c>
      <c r="B215" s="342">
        <v>3.91</v>
      </c>
      <c r="C215" s="342"/>
      <c r="D215" s="342"/>
      <c r="E215" s="342"/>
      <c r="F215" s="342"/>
      <c r="G215" s="342"/>
      <c r="H215" s="342"/>
    </row>
    <row r="216" spans="1:8" x14ac:dyDescent="0.25">
      <c r="A216" s="345">
        <v>41897</v>
      </c>
      <c r="B216" s="342">
        <v>3.92</v>
      </c>
      <c r="C216" s="342"/>
      <c r="D216" s="342"/>
      <c r="E216" s="342"/>
      <c r="F216" s="342"/>
      <c r="G216" s="342"/>
      <c r="H216" s="342"/>
    </row>
    <row r="217" spans="1:8" x14ac:dyDescent="0.25">
      <c r="A217" s="345">
        <v>41927</v>
      </c>
      <c r="B217" s="342">
        <v>3.78</v>
      </c>
      <c r="C217" s="342"/>
      <c r="D217" s="342"/>
      <c r="E217" s="342"/>
      <c r="F217" s="342"/>
      <c r="G217" s="342"/>
      <c r="H217" s="342"/>
    </row>
    <row r="218" spans="1:8" x14ac:dyDescent="0.25">
      <c r="A218" s="345">
        <v>41958</v>
      </c>
      <c r="B218" s="342">
        <v>4.12</v>
      </c>
      <c r="C218" s="342"/>
      <c r="D218" s="342"/>
      <c r="E218" s="342"/>
      <c r="F218" s="342"/>
      <c r="G218" s="342"/>
      <c r="H218" s="342"/>
    </row>
    <row r="219" spans="1:8" x14ac:dyDescent="0.25">
      <c r="A219" s="345">
        <v>41988</v>
      </c>
      <c r="B219" s="342">
        <v>3.48</v>
      </c>
      <c r="C219" s="342"/>
      <c r="D219" s="342"/>
      <c r="E219" s="342"/>
      <c r="F219" s="342"/>
      <c r="G219" s="342"/>
      <c r="H219" s="342"/>
    </row>
    <row r="220" spans="1:8" x14ac:dyDescent="0.25">
      <c r="A220" s="345">
        <v>42019</v>
      </c>
      <c r="B220" s="342">
        <v>2.99</v>
      </c>
      <c r="C220" s="342"/>
      <c r="D220" s="342"/>
      <c r="E220" s="342"/>
      <c r="F220" s="342"/>
      <c r="G220" s="342"/>
      <c r="H220" s="342"/>
    </row>
    <row r="221" spans="1:8" x14ac:dyDescent="0.25">
      <c r="A221" s="345">
        <v>42050</v>
      </c>
      <c r="B221" s="342">
        <v>2.87</v>
      </c>
      <c r="C221" s="342"/>
      <c r="D221" s="342"/>
      <c r="E221" s="342"/>
      <c r="F221" s="342"/>
      <c r="G221" s="342"/>
      <c r="H221" s="342"/>
    </row>
    <row r="222" spans="1:8" x14ac:dyDescent="0.25">
      <c r="A222" s="345">
        <v>42078</v>
      </c>
      <c r="B222" s="342">
        <v>2.83</v>
      </c>
      <c r="C222" s="342"/>
      <c r="D222" s="342"/>
      <c r="E222" s="342"/>
      <c r="F222" s="342"/>
      <c r="G222" s="342"/>
      <c r="H222" s="342"/>
    </row>
    <row r="223" spans="1:8" x14ac:dyDescent="0.25">
      <c r="A223" s="345">
        <v>42109</v>
      </c>
      <c r="B223" s="342">
        <v>2.61</v>
      </c>
      <c r="C223" s="342"/>
      <c r="D223" s="342"/>
      <c r="E223" s="342"/>
      <c r="F223" s="342"/>
      <c r="G223" s="342"/>
      <c r="H223" s="342"/>
    </row>
    <row r="224" spans="1:8" x14ac:dyDescent="0.25">
      <c r="A224" s="345">
        <v>42139</v>
      </c>
      <c r="B224" s="342">
        <v>2.85</v>
      </c>
      <c r="C224" s="342"/>
      <c r="D224" s="342"/>
      <c r="E224" s="342"/>
      <c r="F224" s="342"/>
      <c r="G224" s="342"/>
      <c r="H224" s="342"/>
    </row>
    <row r="225" spans="1:8" x14ac:dyDescent="0.25">
      <c r="A225" s="345">
        <v>42170</v>
      </c>
      <c r="B225" s="342">
        <v>2.78</v>
      </c>
      <c r="C225" s="342"/>
      <c r="D225" s="342"/>
      <c r="E225" s="342"/>
      <c r="F225" s="342"/>
      <c r="G225" s="342"/>
      <c r="H225" s="342"/>
    </row>
    <row r="226" spans="1:8" x14ac:dyDescent="0.25">
      <c r="A226" s="345">
        <v>42200</v>
      </c>
      <c r="B226" s="342">
        <v>2.84</v>
      </c>
      <c r="C226" s="342"/>
      <c r="D226" s="342"/>
      <c r="E226" s="342"/>
      <c r="F226" s="342"/>
      <c r="G226" s="342"/>
      <c r="H226" s="342"/>
    </row>
    <row r="227" spans="1:8" x14ac:dyDescent="0.25">
      <c r="A227" s="345">
        <v>42231</v>
      </c>
      <c r="B227" s="342">
        <v>2.77</v>
      </c>
      <c r="C227" s="342"/>
      <c r="D227" s="342"/>
      <c r="E227" s="342"/>
      <c r="F227" s="342"/>
      <c r="G227" s="342"/>
      <c r="H227" s="342"/>
    </row>
    <row r="228" spans="1:8" x14ac:dyDescent="0.25">
      <c r="A228" s="345">
        <v>42262</v>
      </c>
      <c r="B228" s="342">
        <v>2.66</v>
      </c>
      <c r="C228" s="342"/>
      <c r="D228" s="342"/>
      <c r="E228" s="342"/>
      <c r="F228" s="342"/>
      <c r="G228" s="342"/>
      <c r="H228" s="342"/>
    </row>
    <row r="229" spans="1:8" x14ac:dyDescent="0.25">
      <c r="A229" s="345">
        <v>42292</v>
      </c>
      <c r="B229" s="342">
        <v>2.34</v>
      </c>
      <c r="C229" s="342"/>
      <c r="D229" s="342"/>
      <c r="E229" s="342"/>
      <c r="F229" s="342"/>
      <c r="G229" s="342"/>
      <c r="H229" s="342"/>
    </row>
    <row r="230" spans="1:8" x14ac:dyDescent="0.25">
      <c r="A230" s="345">
        <v>42323</v>
      </c>
      <c r="B230" s="342">
        <v>2.09</v>
      </c>
      <c r="C230" s="342"/>
      <c r="D230" s="342"/>
      <c r="E230" s="342"/>
      <c r="F230" s="342"/>
      <c r="G230" s="342"/>
      <c r="H230" s="342"/>
    </row>
    <row r="231" spans="1:8" x14ac:dyDescent="0.25">
      <c r="A231" s="345">
        <v>42353</v>
      </c>
      <c r="B231" s="342">
        <v>1.93</v>
      </c>
      <c r="C231" s="342"/>
      <c r="D231" s="342"/>
      <c r="E231" s="342"/>
      <c r="F231" s="342"/>
      <c r="G231" s="342"/>
      <c r="H231" s="342"/>
    </row>
    <row r="232" spans="1:8" x14ac:dyDescent="0.25">
      <c r="A232" s="345">
        <v>42384</v>
      </c>
      <c r="B232" s="342">
        <v>2.2799999999999998</v>
      </c>
      <c r="C232" s="342"/>
      <c r="D232" s="342"/>
      <c r="E232" s="342"/>
      <c r="F232" s="342"/>
      <c r="G232" s="342"/>
      <c r="H232" s="342"/>
    </row>
    <row r="233" spans="1:8" x14ac:dyDescent="0.25">
      <c r="A233" s="345">
        <v>42415</v>
      </c>
      <c r="B233" s="342">
        <v>1.99</v>
      </c>
      <c r="C233" s="342"/>
      <c r="D233" s="342"/>
      <c r="E233" s="342"/>
      <c r="F233" s="342"/>
      <c r="G233" s="342"/>
      <c r="H233" s="342"/>
    </row>
    <row r="234" spans="1:8" x14ac:dyDescent="0.25">
      <c r="A234" s="345">
        <v>42444</v>
      </c>
      <c r="B234" s="342">
        <v>1.73</v>
      </c>
      <c r="C234" s="342"/>
      <c r="D234" s="342"/>
      <c r="E234" s="342"/>
      <c r="F234" s="342"/>
      <c r="G234" s="342"/>
      <c r="H234" s="342"/>
    </row>
    <row r="235" spans="1:8" x14ac:dyDescent="0.25">
      <c r="A235" s="345">
        <v>42475</v>
      </c>
      <c r="B235" s="342">
        <v>1.92</v>
      </c>
      <c r="C235" s="342"/>
      <c r="D235" s="342"/>
      <c r="E235" s="342"/>
      <c r="F235" s="342"/>
      <c r="G235" s="342"/>
      <c r="H235" s="342"/>
    </row>
    <row r="236" spans="1:8" x14ac:dyDescent="0.25">
      <c r="A236" s="345">
        <v>42505</v>
      </c>
      <c r="B236" s="342">
        <v>1.92</v>
      </c>
      <c r="C236" s="342"/>
      <c r="D236" s="342"/>
      <c r="E236" s="342"/>
      <c r="F236" s="342"/>
      <c r="G236" s="342"/>
      <c r="H236" s="342"/>
    </row>
    <row r="237" spans="1:8" x14ac:dyDescent="0.25">
      <c r="A237" s="345">
        <v>42536</v>
      </c>
      <c r="B237" s="342">
        <v>2.59</v>
      </c>
      <c r="C237" s="342"/>
      <c r="D237" s="342"/>
      <c r="E237" s="342"/>
      <c r="F237" s="342"/>
      <c r="G237" s="342"/>
      <c r="H237" s="342"/>
    </row>
    <row r="238" spans="1:8" x14ac:dyDescent="0.25">
      <c r="A238" s="345">
        <v>42566</v>
      </c>
      <c r="B238" s="342">
        <v>2.82</v>
      </c>
      <c r="C238" s="342"/>
      <c r="D238" s="342"/>
      <c r="E238" s="342"/>
      <c r="F238" s="342"/>
      <c r="G238" s="342"/>
      <c r="H238" s="342"/>
    </row>
    <row r="239" spans="1:8" x14ac:dyDescent="0.25">
      <c r="A239" s="345">
        <v>42597</v>
      </c>
      <c r="B239" s="342">
        <v>2.82</v>
      </c>
      <c r="C239" s="342"/>
      <c r="D239" s="342"/>
      <c r="E239" s="342"/>
      <c r="F239" s="342"/>
      <c r="G239" s="342"/>
      <c r="H239" s="342"/>
    </row>
    <row r="240" spans="1:8" x14ac:dyDescent="0.25">
      <c r="A240" s="345">
        <v>42628</v>
      </c>
      <c r="B240" s="342">
        <v>2.99</v>
      </c>
      <c r="C240" s="342"/>
      <c r="D240" s="342"/>
      <c r="E240" s="342"/>
      <c r="F240" s="342"/>
      <c r="G240" s="342"/>
      <c r="H240" s="342"/>
    </row>
    <row r="241" spans="1:8" x14ac:dyDescent="0.25">
      <c r="A241" s="345">
        <v>42658</v>
      </c>
      <c r="B241" s="342">
        <v>2.98</v>
      </c>
      <c r="C241" s="342"/>
      <c r="D241" s="342"/>
      <c r="E241" s="342"/>
      <c r="F241" s="342"/>
      <c r="G241" s="342"/>
      <c r="H241" s="342"/>
    </row>
    <row r="242" spans="1:8" x14ac:dyDescent="0.25">
      <c r="A242" s="345">
        <v>42689</v>
      </c>
      <c r="B242" s="342">
        <v>2.5499999999999998</v>
      </c>
      <c r="C242" s="342"/>
      <c r="D242" s="342"/>
      <c r="E242" s="342"/>
      <c r="F242" s="342"/>
      <c r="G242" s="342"/>
      <c r="H242" s="342"/>
    </row>
    <row r="243" spans="1:8" x14ac:dyDescent="0.25">
      <c r="A243" s="345">
        <v>42719</v>
      </c>
      <c r="B243" s="342">
        <v>3.59</v>
      </c>
      <c r="C243" s="342"/>
      <c r="D243" s="342"/>
      <c r="E243" s="342"/>
      <c r="F243" s="342"/>
      <c r="G243" s="342"/>
      <c r="H243" s="342"/>
    </row>
    <row r="244" spans="1:8" x14ac:dyDescent="0.25">
      <c r="A244" s="345">
        <v>42750</v>
      </c>
      <c r="B244" s="342">
        <v>3.3</v>
      </c>
      <c r="C244" s="342"/>
      <c r="D244" s="342"/>
      <c r="E244" s="342"/>
      <c r="F244" s="342"/>
      <c r="G244" s="342"/>
      <c r="H244" s="342"/>
    </row>
    <row r="245" spans="1:8" x14ac:dyDescent="0.25">
      <c r="A245" s="345">
        <v>42781</v>
      </c>
      <c r="B245" s="342">
        <v>2.85</v>
      </c>
      <c r="C245" s="342"/>
      <c r="D245" s="342"/>
      <c r="E245" s="342"/>
      <c r="F245" s="342"/>
      <c r="G245" s="342"/>
      <c r="H245" s="342"/>
    </row>
    <row r="246" spans="1:8" x14ac:dyDescent="0.25">
      <c r="A246" s="345">
        <v>42809</v>
      </c>
      <c r="B246" s="342">
        <v>2.88</v>
      </c>
      <c r="C246" s="342"/>
      <c r="D246" s="342"/>
      <c r="E246" s="342"/>
      <c r="F246" s="342"/>
      <c r="G246" s="342"/>
      <c r="H246" s="342"/>
    </row>
    <row r="247" spans="1:8" x14ac:dyDescent="0.25">
      <c r="A247" s="345">
        <v>42840</v>
      </c>
      <c r="B247" s="342">
        <v>3.1</v>
      </c>
      <c r="C247" s="342"/>
      <c r="D247" s="342"/>
      <c r="E247" s="342"/>
      <c r="F247" s="342"/>
      <c r="G247" s="342"/>
      <c r="H247" s="342"/>
    </row>
    <row r="248" spans="1:8" x14ac:dyDescent="0.25">
      <c r="A248" s="345">
        <v>42870</v>
      </c>
      <c r="B248" s="342">
        <v>3.15</v>
      </c>
      <c r="C248" s="342"/>
      <c r="D248" s="342"/>
      <c r="E248" s="342"/>
      <c r="F248" s="342"/>
      <c r="G248" s="342"/>
      <c r="H248" s="342"/>
    </row>
    <row r="249" spans="1:8" x14ac:dyDescent="0.25">
      <c r="A249" s="345">
        <v>42901</v>
      </c>
      <c r="B249" s="342">
        <v>2.98</v>
      </c>
      <c r="C249" s="342"/>
      <c r="D249" s="342"/>
      <c r="E249" s="342"/>
      <c r="F249" s="342"/>
      <c r="G249" s="342"/>
      <c r="H249" s="342"/>
    </row>
    <row r="250" spans="1:8" x14ac:dyDescent="0.25">
      <c r="A250" s="345">
        <v>42931</v>
      </c>
      <c r="B250" s="342">
        <v>2.98</v>
      </c>
      <c r="C250" s="342"/>
      <c r="D250" s="342"/>
      <c r="E250" s="342"/>
      <c r="F250" s="342"/>
      <c r="G250" s="342"/>
      <c r="H250" s="342"/>
    </row>
    <row r="251" spans="1:8" x14ac:dyDescent="0.25">
      <c r="A251" s="345">
        <v>42962</v>
      </c>
      <c r="B251" s="342">
        <v>2.9</v>
      </c>
      <c r="C251" s="342"/>
      <c r="D251" s="342"/>
      <c r="E251" s="342"/>
      <c r="F251" s="342"/>
      <c r="G251" s="342"/>
      <c r="H251" s="342"/>
    </row>
    <row r="252" spans="1:8" x14ac:dyDescent="0.25">
      <c r="A252" s="345">
        <v>42993</v>
      </c>
      <c r="B252" s="342">
        <v>2.98</v>
      </c>
      <c r="C252" s="342"/>
      <c r="D252" s="342"/>
      <c r="E252" s="342"/>
      <c r="F252" s="342"/>
      <c r="G252" s="342"/>
      <c r="H252" s="342"/>
    </row>
    <row r="253" spans="1:8" x14ac:dyDescent="0.25">
      <c r="A253" s="345">
        <v>43023</v>
      </c>
      <c r="B253" s="342">
        <v>2.88</v>
      </c>
      <c r="C253" s="342"/>
      <c r="D253" s="342"/>
      <c r="E253" s="342"/>
      <c r="F253" s="342"/>
      <c r="G253" s="342"/>
      <c r="H253" s="342"/>
    </row>
    <row r="254" spans="1:8" x14ac:dyDescent="0.25">
      <c r="A254" s="345">
        <v>43054</v>
      </c>
      <c r="B254" s="342">
        <v>3.01</v>
      </c>
      <c r="C254" s="342"/>
      <c r="D254" s="342"/>
      <c r="E254" s="342"/>
      <c r="F254" s="342"/>
      <c r="G254" s="342"/>
      <c r="H254" s="342"/>
    </row>
    <row r="255" spans="1:8" x14ac:dyDescent="0.25">
      <c r="A255" s="345">
        <v>43084</v>
      </c>
      <c r="B255" s="342">
        <v>2.82</v>
      </c>
      <c r="C255" s="342"/>
      <c r="D255" s="342"/>
      <c r="E255" s="342"/>
      <c r="F255" s="342"/>
      <c r="G255" s="342"/>
      <c r="H255" s="342"/>
    </row>
    <row r="256" spans="1:8" x14ac:dyDescent="0.25">
      <c r="A256" s="345">
        <v>43115</v>
      </c>
      <c r="B256" s="342">
        <v>3.87</v>
      </c>
      <c r="C256" s="342"/>
      <c r="D256" s="342"/>
      <c r="E256" s="342"/>
      <c r="F256" s="342"/>
      <c r="G256" s="342"/>
      <c r="H256" s="342"/>
    </row>
    <row r="257" spans="1:8" x14ac:dyDescent="0.25">
      <c r="A257" s="345">
        <v>43146</v>
      </c>
      <c r="B257" s="342">
        <v>2.67</v>
      </c>
      <c r="C257" s="342"/>
      <c r="D257" s="342"/>
      <c r="E257" s="342"/>
      <c r="F257" s="342"/>
      <c r="G257" s="342"/>
      <c r="H257" s="342"/>
    </row>
    <row r="258" spans="1:8" x14ac:dyDescent="0.25">
      <c r="A258" s="345">
        <v>43174</v>
      </c>
      <c r="B258" s="342">
        <v>2.69</v>
      </c>
      <c r="C258" s="342"/>
      <c r="D258" s="342"/>
      <c r="E258" s="342"/>
      <c r="F258" s="342"/>
      <c r="G258" s="342"/>
      <c r="H258" s="342"/>
    </row>
    <row r="259" spans="1:8" x14ac:dyDescent="0.25">
      <c r="A259" s="345">
        <v>43205</v>
      </c>
      <c r="B259" s="342">
        <v>2.8</v>
      </c>
      <c r="C259" s="342"/>
      <c r="D259" s="342"/>
      <c r="E259" s="342"/>
      <c r="F259" s="342"/>
      <c r="G259" s="342"/>
      <c r="H259" s="342"/>
    </row>
    <row r="260" spans="1:8" x14ac:dyDescent="0.25">
      <c r="A260" s="345">
        <v>43235</v>
      </c>
      <c r="B260" s="342">
        <v>2.8</v>
      </c>
      <c r="C260" s="342"/>
      <c r="D260" s="342"/>
      <c r="E260" s="342"/>
      <c r="F260" s="342"/>
      <c r="G260" s="342"/>
      <c r="H260" s="342"/>
    </row>
    <row r="261" spans="1:8" x14ac:dyDescent="0.25">
      <c r="A261" s="345">
        <v>43266</v>
      </c>
      <c r="B261" s="342">
        <v>2.97</v>
      </c>
      <c r="C261" s="342"/>
      <c r="D261" s="342"/>
      <c r="E261" s="342"/>
      <c r="F261" s="342"/>
      <c r="G261" s="342"/>
      <c r="H261" s="342"/>
    </row>
    <row r="262" spans="1:8" x14ac:dyDescent="0.25">
      <c r="A262" s="345">
        <v>43296</v>
      </c>
      <c r="B262" s="342">
        <v>2.83</v>
      </c>
      <c r="C262" s="342"/>
      <c r="D262" s="342"/>
      <c r="E262" s="342"/>
      <c r="F262" s="342"/>
      <c r="G262" s="342"/>
      <c r="H262" s="342"/>
    </row>
    <row r="263" spans="1:8" x14ac:dyDescent="0.25">
      <c r="A263" s="345">
        <v>43327</v>
      </c>
      <c r="B263" s="342">
        <v>2.96</v>
      </c>
      <c r="C263" s="342"/>
      <c r="D263" s="342"/>
      <c r="E263" s="342"/>
      <c r="F263" s="342"/>
      <c r="G263" s="342"/>
      <c r="H263" s="342"/>
    </row>
    <row r="264" spans="1:8" x14ac:dyDescent="0.25">
      <c r="A264" s="345">
        <v>43358</v>
      </c>
      <c r="B264" s="342">
        <v>3</v>
      </c>
      <c r="C264" s="342"/>
      <c r="D264" s="342"/>
      <c r="E264" s="342"/>
      <c r="F264" s="342"/>
      <c r="G264" s="342"/>
      <c r="H264" s="342"/>
    </row>
    <row r="265" spans="1:8" x14ac:dyDescent="0.25">
      <c r="A265" s="345">
        <v>43388</v>
      </c>
      <c r="B265" s="342">
        <v>3.28</v>
      </c>
      <c r="C265" s="342"/>
      <c r="D265" s="342"/>
      <c r="E265" s="342"/>
      <c r="F265" s="342"/>
      <c r="G265" s="342"/>
      <c r="H265" s="342"/>
    </row>
    <row r="266" spans="1:8" x14ac:dyDescent="0.25">
      <c r="A266" s="345">
        <v>43419</v>
      </c>
      <c r="B266" s="342">
        <v>4.09</v>
      </c>
      <c r="C266" s="342"/>
      <c r="D266" s="342"/>
      <c r="E266" s="342"/>
      <c r="F266" s="342"/>
      <c r="G266" s="342"/>
      <c r="H266" s="342"/>
    </row>
    <row r="267" spans="1:8" x14ac:dyDescent="0.25">
      <c r="A267" s="345">
        <v>43449</v>
      </c>
      <c r="B267" s="342">
        <v>4.04</v>
      </c>
      <c r="C267" s="342"/>
      <c r="D267" s="342"/>
      <c r="E267" s="342"/>
      <c r="F267" s="342"/>
      <c r="G267" s="342"/>
      <c r="H267" s="342"/>
    </row>
    <row r="268" spans="1:8" x14ac:dyDescent="0.25">
      <c r="A268" s="345">
        <v>43480</v>
      </c>
      <c r="B268" s="342">
        <v>3.11</v>
      </c>
      <c r="C268" s="342"/>
      <c r="D268" s="342"/>
      <c r="E268" s="342"/>
      <c r="F268" s="342"/>
      <c r="G268" s="342"/>
      <c r="H268" s="342"/>
    </row>
    <row r="269" spans="1:8" x14ac:dyDescent="0.25">
      <c r="A269" s="345">
        <v>43511</v>
      </c>
      <c r="B269" s="342">
        <v>2.69</v>
      </c>
      <c r="C269" s="342"/>
      <c r="D269" s="342"/>
      <c r="E269" s="342"/>
      <c r="F269" s="342"/>
      <c r="G269" s="342"/>
      <c r="H269" s="342"/>
    </row>
    <row r="270" spans="1:8" x14ac:dyDescent="0.25">
      <c r="A270" s="345">
        <v>43539</v>
      </c>
      <c r="B270" s="342">
        <v>2.95</v>
      </c>
      <c r="C270" s="342"/>
      <c r="D270" s="342"/>
      <c r="E270" s="342"/>
      <c r="F270" s="342"/>
      <c r="G270" s="342"/>
      <c r="H270" s="342"/>
    </row>
    <row r="271" spans="1:8" x14ac:dyDescent="0.25">
      <c r="A271" s="345">
        <v>43570</v>
      </c>
      <c r="B271" s="342">
        <v>2.65</v>
      </c>
      <c r="C271" s="342"/>
      <c r="D271" s="342"/>
      <c r="E271" s="342"/>
      <c r="F271" s="342"/>
      <c r="G271" s="342"/>
      <c r="H271" s="342"/>
    </row>
    <row r="272" spans="1:8" x14ac:dyDescent="0.25">
      <c r="A272" s="345">
        <v>43600</v>
      </c>
      <c r="B272" s="342">
        <v>2.64</v>
      </c>
      <c r="C272" s="342"/>
      <c r="D272" s="342"/>
      <c r="E272" s="342"/>
      <c r="F272" s="342"/>
      <c r="G272" s="342"/>
      <c r="H272" s="342"/>
    </row>
    <row r="273" spans="1:8" x14ac:dyDescent="0.25">
      <c r="A273" s="345">
        <v>43631</v>
      </c>
      <c r="B273" s="342">
        <v>2.4</v>
      </c>
      <c r="C273" s="342"/>
      <c r="D273" s="342"/>
      <c r="E273" s="342"/>
      <c r="F273" s="342"/>
      <c r="G273" s="342"/>
      <c r="H273" s="342"/>
    </row>
    <row r="274" spans="1:8" x14ac:dyDescent="0.25">
      <c r="A274" s="345">
        <v>43661</v>
      </c>
      <c r="B274" s="342">
        <v>2.37</v>
      </c>
      <c r="C274" s="342"/>
      <c r="D274" s="342"/>
      <c r="E274" s="342"/>
      <c r="F274" s="342"/>
      <c r="G274" s="342"/>
      <c r="H274" s="342"/>
    </row>
    <row r="275" spans="1:8" x14ac:dyDescent="0.25">
      <c r="A275" s="345">
        <v>43692</v>
      </c>
      <c r="B275" s="342">
        <v>2.2200000000000002</v>
      </c>
      <c r="C275" s="342"/>
      <c r="D275" s="342"/>
      <c r="E275" s="342"/>
      <c r="F275" s="342"/>
      <c r="G275" s="342"/>
      <c r="H275" s="342"/>
    </row>
    <row r="276" spans="1:8" x14ac:dyDescent="0.25">
      <c r="A276" s="345">
        <v>43723</v>
      </c>
      <c r="B276" s="342">
        <v>2.56</v>
      </c>
      <c r="C276" s="342"/>
      <c r="D276" s="342"/>
      <c r="E276" s="342"/>
      <c r="F276" s="342"/>
      <c r="G276" s="342"/>
      <c r="H276" s="342"/>
    </row>
    <row r="277" spans="1:8" x14ac:dyDescent="0.25">
      <c r="A277" s="345">
        <v>43753</v>
      </c>
      <c r="B277" s="342">
        <v>2.33</v>
      </c>
      <c r="C277" s="342"/>
      <c r="D277" s="342"/>
      <c r="E277" s="342"/>
      <c r="F277" s="342"/>
      <c r="G277" s="342"/>
      <c r="H277" s="342"/>
    </row>
    <row r="278" spans="1:8" x14ac:dyDescent="0.25">
      <c r="A278" s="345">
        <v>43784</v>
      </c>
      <c r="B278" s="342">
        <v>2.65</v>
      </c>
      <c r="C278" s="342"/>
      <c r="D278" s="342"/>
      <c r="E278" s="342"/>
      <c r="F278" s="342"/>
      <c r="G278" s="342"/>
      <c r="H278" s="342"/>
    </row>
    <row r="279" spans="1:8" x14ac:dyDescent="0.25">
      <c r="A279" s="345">
        <v>43814</v>
      </c>
      <c r="B279" s="342">
        <v>2.2200000000000002</v>
      </c>
      <c r="C279" s="342"/>
      <c r="D279" s="342"/>
      <c r="E279" s="342"/>
      <c r="F279" s="342"/>
      <c r="G279" s="342"/>
      <c r="H279" s="342"/>
    </row>
    <row r="280" spans="1:8" x14ac:dyDescent="0.25">
      <c r="A280" s="345">
        <v>43845</v>
      </c>
      <c r="B280" s="342">
        <v>2.02</v>
      </c>
      <c r="C280" s="342"/>
      <c r="D280" s="342"/>
      <c r="E280" s="342"/>
      <c r="F280" s="342"/>
      <c r="G280" s="342"/>
      <c r="H280" s="342"/>
    </row>
    <row r="281" spans="1:8" x14ac:dyDescent="0.25">
      <c r="A281" s="345">
        <v>43876</v>
      </c>
      <c r="B281" s="342">
        <v>1.91</v>
      </c>
      <c r="C281" s="342"/>
      <c r="D281" s="342"/>
      <c r="E281" s="342"/>
      <c r="F281" s="342"/>
      <c r="G281" s="342"/>
      <c r="H281" s="342"/>
    </row>
    <row r="282" spans="1:8" x14ac:dyDescent="0.25">
      <c r="A282" s="345">
        <v>43905</v>
      </c>
      <c r="B282" s="342">
        <v>1.79</v>
      </c>
      <c r="C282" s="342"/>
      <c r="D282" s="342"/>
      <c r="E282" s="342"/>
      <c r="F282" s="342"/>
      <c r="G282" s="342"/>
      <c r="H282" s="342"/>
    </row>
    <row r="283" spans="1:8" x14ac:dyDescent="0.25">
      <c r="A283" s="345">
        <v>43936</v>
      </c>
      <c r="B283" s="342">
        <v>1.74</v>
      </c>
      <c r="C283" s="342"/>
      <c r="D283" s="342"/>
      <c r="E283" s="342"/>
      <c r="F283" s="342"/>
      <c r="G283" s="342"/>
      <c r="H283" s="342"/>
    </row>
    <row r="284" spans="1:8" x14ac:dyDescent="0.25">
      <c r="A284" s="345">
        <v>43966</v>
      </c>
      <c r="B284" s="342">
        <v>1.75</v>
      </c>
      <c r="C284" s="342"/>
      <c r="D284" s="342"/>
      <c r="E284" s="342"/>
      <c r="F284" s="342"/>
      <c r="G284" s="342"/>
      <c r="H284" s="342"/>
    </row>
    <row r="285" spans="1:8" x14ac:dyDescent="0.25">
      <c r="A285" s="345">
        <v>43997</v>
      </c>
      <c r="B285" s="342">
        <v>1.63</v>
      </c>
      <c r="C285" s="342"/>
      <c r="D285" s="342"/>
      <c r="E285" s="342"/>
      <c r="F285" s="342"/>
      <c r="G285" s="342"/>
      <c r="H285" s="342"/>
    </row>
    <row r="286" spans="1:8" x14ac:dyDescent="0.25">
      <c r="A286" s="345">
        <v>44027</v>
      </c>
      <c r="B286" s="342">
        <v>1.77</v>
      </c>
      <c r="C286" s="342"/>
      <c r="D286" s="342"/>
      <c r="E286" s="342"/>
      <c r="F286" s="342"/>
      <c r="G286" s="342"/>
      <c r="H286" s="342"/>
    </row>
    <row r="287" spans="1:8" x14ac:dyDescent="0.25">
      <c r="A287" s="345">
        <v>44058</v>
      </c>
      <c r="B287" s="342">
        <v>2.2999999999999998</v>
      </c>
      <c r="C287" s="342"/>
      <c r="D287" s="342"/>
      <c r="E287" s="342"/>
      <c r="F287" s="342"/>
      <c r="G287" s="342"/>
      <c r="H287" s="342"/>
    </row>
    <row r="288" spans="1:8" x14ac:dyDescent="0.25">
      <c r="A288" s="345">
        <v>44089</v>
      </c>
      <c r="B288" s="342">
        <v>1.92</v>
      </c>
      <c r="C288" s="342"/>
      <c r="D288" s="342"/>
      <c r="E288" s="342"/>
      <c r="F288" s="342"/>
      <c r="G288" s="342"/>
      <c r="H288" s="342"/>
    </row>
    <row r="289" spans="1:8" x14ac:dyDescent="0.25">
      <c r="A289" s="345">
        <v>44119</v>
      </c>
      <c r="B289" s="342">
        <v>2.39</v>
      </c>
      <c r="C289" s="342"/>
      <c r="D289" s="342"/>
      <c r="E289" s="342"/>
      <c r="F289" s="342"/>
      <c r="G289" s="342"/>
      <c r="H289" s="342"/>
    </row>
    <row r="290" spans="1:8" x14ac:dyDescent="0.25">
      <c r="A290" s="345">
        <v>44150</v>
      </c>
      <c r="B290" s="342">
        <v>2.61</v>
      </c>
      <c r="C290" s="342"/>
      <c r="D290" s="342"/>
      <c r="E290" s="342"/>
      <c r="F290" s="342"/>
      <c r="G290" s="342"/>
      <c r="H290" s="342"/>
    </row>
    <row r="291" spans="1:8" x14ac:dyDescent="0.25">
      <c r="A291" s="345">
        <v>44180</v>
      </c>
      <c r="B291" s="342">
        <v>2.59</v>
      </c>
      <c r="C291" s="342"/>
      <c r="D291" s="342"/>
      <c r="E291" s="342"/>
      <c r="F291" s="342"/>
      <c r="G291" s="342"/>
      <c r="H291" s="342"/>
    </row>
    <row r="292" spans="1:8" x14ac:dyDescent="0.25">
      <c r="A292" s="345">
        <v>44211</v>
      </c>
      <c r="B292" s="342">
        <v>2.71</v>
      </c>
      <c r="C292" s="342"/>
      <c r="D292" s="342"/>
      <c r="E292" s="342"/>
      <c r="F292" s="342"/>
      <c r="G292" s="342"/>
      <c r="H292" s="342"/>
    </row>
    <row r="293" spans="1:8" x14ac:dyDescent="0.25">
      <c r="A293" s="345">
        <v>44242</v>
      </c>
      <c r="B293" s="342">
        <v>5.35</v>
      </c>
      <c r="C293" s="342"/>
      <c r="D293" s="342"/>
      <c r="E293" s="342"/>
      <c r="F293" s="342"/>
      <c r="G293" s="342"/>
      <c r="H293" s="342"/>
    </row>
    <row r="294" spans="1:8" x14ac:dyDescent="0.25">
      <c r="A294" s="345"/>
      <c r="B294" s="342"/>
      <c r="C294" s="342"/>
      <c r="D294" s="342"/>
      <c r="E294" s="342"/>
      <c r="F294" s="342"/>
      <c r="G294" s="342"/>
      <c r="H294" s="342"/>
    </row>
    <row r="295" spans="1:8" x14ac:dyDescent="0.25">
      <c r="A295" s="338" t="s">
        <v>5215</v>
      </c>
      <c r="B295" s="338">
        <f>ROUND(SUM(B270:B293)/24,2)</f>
        <v>2.39</v>
      </c>
      <c r="C295" s="342"/>
      <c r="D295" s="342"/>
      <c r="E295" s="342"/>
      <c r="F295" s="342"/>
      <c r="G295" s="342"/>
      <c r="H295" s="342"/>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A37FD1-4322-4E65-B05A-72F79A38A970}">
  <sheetPr codeName="Sheet1"/>
  <dimension ref="B2:F52"/>
  <sheetViews>
    <sheetView workbookViewId="0">
      <selection activeCell="B46" sqref="B46"/>
    </sheetView>
  </sheetViews>
  <sheetFormatPr defaultRowHeight="15" x14ac:dyDescent="0.25"/>
  <cols>
    <col min="2" max="2" width="17.28515625" customWidth="1"/>
  </cols>
  <sheetData>
    <row r="2" spans="2:2" x14ac:dyDescent="0.25">
      <c r="B2" s="22" t="s">
        <v>4448</v>
      </c>
    </row>
    <row r="3" spans="2:2" ht="16.5" x14ac:dyDescent="0.25">
      <c r="B3" s="8" t="s">
        <v>4338</v>
      </c>
    </row>
    <row r="4" spans="2:2" ht="16.5" x14ac:dyDescent="0.25">
      <c r="B4" s="8" t="s">
        <v>4339</v>
      </c>
    </row>
    <row r="5" spans="2:2" ht="16.5" x14ac:dyDescent="0.25">
      <c r="B5" s="8"/>
    </row>
    <row r="6" spans="2:2" ht="18" x14ac:dyDescent="0.25">
      <c r="B6" s="9" t="s">
        <v>4340</v>
      </c>
    </row>
    <row r="7" spans="2:2" ht="16.5" x14ac:dyDescent="0.25">
      <c r="B7" s="10" t="s">
        <v>4341</v>
      </c>
    </row>
    <row r="8" spans="2:2" ht="16.5" x14ac:dyDescent="0.25">
      <c r="B8" s="8"/>
    </row>
    <row r="9" spans="2:2" x14ac:dyDescent="0.25">
      <c r="B9" s="11" t="s">
        <v>4342</v>
      </c>
    </row>
    <row r="10" spans="2:2" ht="16.5" x14ac:dyDescent="0.25">
      <c r="B10" s="8" t="s">
        <v>4343</v>
      </c>
    </row>
    <row r="11" spans="2:2" x14ac:dyDescent="0.25">
      <c r="B11" s="12"/>
    </row>
    <row r="12" spans="2:2" x14ac:dyDescent="0.25">
      <c r="B12" s="11" t="s">
        <v>11</v>
      </c>
    </row>
    <row r="13" spans="2:2" ht="16.5" x14ac:dyDescent="0.25">
      <c r="B13" s="8" t="s">
        <v>4344</v>
      </c>
    </row>
    <row r="14" spans="2:2" x14ac:dyDescent="0.25">
      <c r="B14" s="12"/>
    </row>
    <row r="15" spans="2:2" x14ac:dyDescent="0.25">
      <c r="B15" s="11" t="s">
        <v>4345</v>
      </c>
    </row>
    <row r="16" spans="2:2" ht="18" x14ac:dyDescent="0.25">
      <c r="B16" s="13" t="s">
        <v>4346</v>
      </c>
    </row>
    <row r="17" spans="2:2" ht="18" x14ac:dyDescent="0.25">
      <c r="B17" s="13" t="s">
        <v>4347</v>
      </c>
    </row>
    <row r="18" spans="2:2" ht="18" x14ac:dyDescent="0.25">
      <c r="B18" s="13" t="s">
        <v>4348</v>
      </c>
    </row>
    <row r="19" spans="2:2" ht="18" x14ac:dyDescent="0.25">
      <c r="B19" s="13" t="s">
        <v>4349</v>
      </c>
    </row>
    <row r="20" spans="2:2" ht="18" x14ac:dyDescent="0.25">
      <c r="B20" s="13" t="s">
        <v>4350</v>
      </c>
    </row>
    <row r="21" spans="2:2" x14ac:dyDescent="0.25">
      <c r="B21" s="12"/>
    </row>
    <row r="22" spans="2:2" x14ac:dyDescent="0.25">
      <c r="B22" s="12" t="s">
        <v>4351</v>
      </c>
    </row>
    <row r="23" spans="2:2" x14ac:dyDescent="0.25">
      <c r="B23" s="12"/>
    </row>
    <row r="24" spans="2:2" x14ac:dyDescent="0.25">
      <c r="B24" s="12" t="s">
        <v>4352</v>
      </c>
    </row>
    <row r="25" spans="2:2" x14ac:dyDescent="0.25">
      <c r="B25" s="12" t="s">
        <v>4353</v>
      </c>
    </row>
    <row r="26" spans="2:2" x14ac:dyDescent="0.25">
      <c r="B26" s="12" t="s">
        <v>4354</v>
      </c>
    </row>
    <row r="27" spans="2:2" x14ac:dyDescent="0.25">
      <c r="B27" s="12" t="s">
        <v>4355</v>
      </c>
    </row>
    <row r="28" spans="2:2" x14ac:dyDescent="0.25">
      <c r="B28" s="12" t="s">
        <v>4356</v>
      </c>
    </row>
    <row r="29" spans="2:2" x14ac:dyDescent="0.25">
      <c r="B29" s="12" t="s">
        <v>4357</v>
      </c>
    </row>
    <row r="30" spans="2:2" x14ac:dyDescent="0.25">
      <c r="B30" s="12" t="s">
        <v>4358</v>
      </c>
    </row>
    <row r="31" spans="2:2" x14ac:dyDescent="0.25">
      <c r="B31" s="12"/>
    </row>
    <row r="32" spans="2:2" x14ac:dyDescent="0.25">
      <c r="B32" s="11" t="s">
        <v>4359</v>
      </c>
    </row>
    <row r="33" spans="2:6" x14ac:dyDescent="0.25">
      <c r="B33" s="12" t="s">
        <v>4360</v>
      </c>
    </row>
    <row r="34" spans="2:6" x14ac:dyDescent="0.25">
      <c r="B34" s="14" t="s">
        <v>4361</v>
      </c>
    </row>
    <row r="35" spans="2:6" x14ac:dyDescent="0.25">
      <c r="B35" s="12" t="s">
        <v>4362</v>
      </c>
    </row>
    <row r="36" spans="2:6" x14ac:dyDescent="0.25">
      <c r="B36" s="12" t="s">
        <v>4363</v>
      </c>
    </row>
    <row r="37" spans="2:6" x14ac:dyDescent="0.25">
      <c r="B37" s="12" t="s">
        <v>4364</v>
      </c>
    </row>
    <row r="38" spans="2:6" x14ac:dyDescent="0.25">
      <c r="B38" s="14" t="s">
        <v>4365</v>
      </c>
    </row>
    <row r="39" spans="2:6" x14ac:dyDescent="0.25">
      <c r="B39" s="14" t="s">
        <v>4366</v>
      </c>
    </row>
    <row r="40" spans="2:6" ht="16.5" x14ac:dyDescent="0.25">
      <c r="B40" s="8"/>
    </row>
    <row r="41" spans="2:6" ht="16.5" x14ac:dyDescent="0.25">
      <c r="B41" s="15" t="s">
        <v>4367</v>
      </c>
    </row>
    <row r="42" spans="2:6" ht="16.5" x14ac:dyDescent="0.25">
      <c r="B42" s="15"/>
    </row>
    <row r="43" spans="2:6" ht="16.5" x14ac:dyDescent="0.25">
      <c r="B43" s="8" t="s">
        <v>5210</v>
      </c>
    </row>
    <row r="45" spans="2:6" ht="16.5" x14ac:dyDescent="0.25">
      <c r="B45" s="8" t="s">
        <v>4370</v>
      </c>
    </row>
    <row r="46" spans="2:6" ht="16.5" x14ac:dyDescent="0.25">
      <c r="B46" s="8" t="s">
        <v>4371</v>
      </c>
    </row>
    <row r="47" spans="2:6" ht="16.5" x14ac:dyDescent="0.25">
      <c r="B47" s="8" t="s">
        <v>56</v>
      </c>
      <c r="C47" s="8" t="s">
        <v>4372</v>
      </c>
      <c r="D47" s="8"/>
      <c r="E47" s="8"/>
      <c r="F47" s="8"/>
    </row>
    <row r="48" spans="2:6" ht="16.5" x14ac:dyDescent="0.25">
      <c r="B48" s="8" t="s">
        <v>4450</v>
      </c>
    </row>
    <row r="49" spans="2:2" ht="16.5" x14ac:dyDescent="0.25">
      <c r="B49" s="8" t="s">
        <v>5197</v>
      </c>
    </row>
    <row r="50" spans="2:2" ht="16.5" x14ac:dyDescent="0.3">
      <c r="B50" s="306" t="s">
        <v>5198</v>
      </c>
    </row>
    <row r="52" spans="2:2" x14ac:dyDescent="0.25">
      <c r="B52" s="22" t="s">
        <v>4449</v>
      </c>
    </row>
  </sheetData>
  <pageMargins left="0.7" right="0.7" top="0.75" bottom="0.75" header="0.3" footer="0.3"/>
  <pageSetup orientation="portrait"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Company Data</vt:lpstr>
      <vt:lpstr>Stats</vt:lpstr>
      <vt:lpstr>Production buckets</vt:lpstr>
      <vt:lpstr>SBA Size Standards</vt:lpstr>
      <vt:lpstr>NM O&amp;G Production</vt:lpstr>
      <vt:lpstr>Oil and Gas Prices</vt:lpstr>
      <vt:lpstr>Crude Oil First Purchase Price</vt:lpstr>
      <vt:lpstr>HH Natural Gas Spot Price</vt:lpstr>
      <vt:lpstr>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Susan Day</dc:creator>
  <cp:lastModifiedBy>Susan Day</cp:lastModifiedBy>
  <dcterms:created xsi:type="dcterms:W3CDTF">2021-03-02T17:43:28Z</dcterms:created>
  <dcterms:modified xsi:type="dcterms:W3CDTF">2021-07-23T00:08:58Z</dcterms:modified>
</cp:coreProperties>
</file>